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G:\@M@v1n\james.torres\Mis Documentos\2022\BKPDTAM\2022\MARZO\BD\"/>
    </mc:Choice>
  </mc:AlternateContent>
  <xr:revisionPtr revIDLastSave="0" documentId="8_{71D25973-7FFC-40E3-BE20-4A6B541A8793}" xr6:coauthVersionLast="47" xr6:coauthVersionMax="47" xr10:uidLastSave="{00000000-0000-0000-0000-000000000000}"/>
  <bookViews>
    <workbookView xWindow="-120" yWindow="-120" windowWidth="19440" windowHeight="15000" xr2:uid="{A6992E4B-5111-49F1-B6C6-C00AB25051D8}"/>
  </bookViews>
  <sheets>
    <sheet name="ENERO-2022" sheetId="1" r:id="rId1"/>
  </sheets>
  <externalReferences>
    <externalReference r:id="rId2"/>
  </externalReferences>
  <definedNames>
    <definedName name="_xlnm._FilterDatabase" localSheetId="0" hidden="1">'ENERO-2022'!$A$1:$BO$110</definedName>
    <definedName name="derly">'ENERO-2022'!$E:$G</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K110" i="1" l="1"/>
  <c r="BH110" i="1"/>
  <c r="AU110" i="1"/>
  <c r="AT110" i="1"/>
  <c r="AM110" i="1"/>
  <c r="AL110" i="1"/>
  <c r="AJ110" i="1"/>
  <c r="AI110" i="1"/>
  <c r="AH110" i="1"/>
  <c r="AE110" i="1"/>
  <c r="AD110" i="1"/>
  <c r="AC110" i="1"/>
  <c r="AA110" i="1"/>
  <c r="Z110" i="1"/>
  <c r="Y110" i="1"/>
  <c r="U110" i="1"/>
  <c r="Q110" i="1"/>
  <c r="P110" i="1"/>
  <c r="O110" i="1"/>
  <c r="N110" i="1"/>
  <c r="M110" i="1"/>
  <c r="L110" i="1"/>
  <c r="H110" i="1"/>
  <c r="G110" i="1"/>
  <c r="F110" i="1"/>
  <c r="D110" i="1"/>
  <c r="BK109" i="1"/>
  <c r="BH109" i="1"/>
  <c r="AU109" i="1"/>
  <c r="AT109" i="1"/>
  <c r="AM109" i="1"/>
  <c r="AL109" i="1"/>
  <c r="AJ109" i="1"/>
  <c r="AI109" i="1"/>
  <c r="AH109" i="1"/>
  <c r="AE109" i="1"/>
  <c r="AD109" i="1"/>
  <c r="AC109" i="1"/>
  <c r="AA109" i="1"/>
  <c r="Z109" i="1"/>
  <c r="U109" i="1"/>
  <c r="Q109" i="1"/>
  <c r="P109" i="1"/>
  <c r="O109" i="1"/>
  <c r="N109" i="1"/>
  <c r="M109" i="1"/>
  <c r="L109" i="1"/>
  <c r="H109" i="1"/>
  <c r="G109" i="1"/>
  <c r="F109" i="1"/>
  <c r="Y109" i="1" s="1"/>
  <c r="D109" i="1"/>
  <c r="BK108" i="1"/>
  <c r="BH108" i="1"/>
  <c r="BG108" i="1"/>
  <c r="AU108" i="1"/>
  <c r="AT108" i="1"/>
  <c r="AM108" i="1"/>
  <c r="AL108" i="1"/>
  <c r="AJ108" i="1"/>
  <c r="AI108" i="1"/>
  <c r="AH108" i="1"/>
  <c r="AE108" i="1"/>
  <c r="AD108" i="1"/>
  <c r="AC108" i="1"/>
  <c r="AA108" i="1"/>
  <c r="Z108" i="1"/>
  <c r="U108" i="1"/>
  <c r="Q108" i="1"/>
  <c r="BF108" i="1" s="1"/>
  <c r="P108" i="1"/>
  <c r="O108" i="1"/>
  <c r="N108" i="1"/>
  <c r="M108" i="1"/>
  <c r="L108" i="1"/>
  <c r="H108" i="1"/>
  <c r="G108" i="1"/>
  <c r="F108" i="1"/>
  <c r="Y108" i="1" s="1"/>
  <c r="D108" i="1"/>
  <c r="BK107" i="1"/>
  <c r="BH107" i="1"/>
  <c r="BG107" i="1"/>
  <c r="AU107" i="1"/>
  <c r="AT107" i="1"/>
  <c r="AM107" i="1"/>
  <c r="AL107" i="1"/>
  <c r="AJ107" i="1"/>
  <c r="AI107" i="1"/>
  <c r="AH107" i="1"/>
  <c r="AE107" i="1"/>
  <c r="AD107" i="1"/>
  <c r="AC107" i="1"/>
  <c r="AA107" i="1"/>
  <c r="Z107" i="1"/>
  <c r="U107" i="1"/>
  <c r="Q107" i="1"/>
  <c r="BF107" i="1" s="1"/>
  <c r="P107" i="1"/>
  <c r="O107" i="1"/>
  <c r="N107" i="1"/>
  <c r="M107" i="1"/>
  <c r="L107" i="1"/>
  <c r="H107" i="1"/>
  <c r="G107" i="1"/>
  <c r="F107" i="1"/>
  <c r="Y107" i="1" s="1"/>
  <c r="D107" i="1"/>
  <c r="BK106" i="1"/>
  <c r="BH106" i="1"/>
  <c r="BG106" i="1"/>
  <c r="AU106" i="1"/>
  <c r="AT106" i="1"/>
  <c r="AM106" i="1"/>
  <c r="AL106" i="1"/>
  <c r="AJ106" i="1"/>
  <c r="AI106" i="1"/>
  <c r="AH106" i="1"/>
  <c r="AE106" i="1"/>
  <c r="AD106" i="1"/>
  <c r="AC106" i="1"/>
  <c r="AA106" i="1"/>
  <c r="Z106" i="1"/>
  <c r="U106" i="1"/>
  <c r="Q106" i="1"/>
  <c r="BF106" i="1" s="1"/>
  <c r="P106" i="1"/>
  <c r="O106" i="1"/>
  <c r="N106" i="1"/>
  <c r="M106" i="1"/>
  <c r="L106" i="1"/>
  <c r="H106" i="1"/>
  <c r="G106" i="1"/>
  <c r="F106" i="1"/>
  <c r="Y106" i="1" s="1"/>
  <c r="D106" i="1"/>
  <c r="BK105" i="1"/>
  <c r="BH105" i="1"/>
  <c r="BG105" i="1"/>
  <c r="AU105" i="1"/>
  <c r="AT105" i="1"/>
  <c r="AM105" i="1"/>
  <c r="AL105" i="1"/>
  <c r="AJ105" i="1"/>
  <c r="AI105" i="1"/>
  <c r="AH105" i="1"/>
  <c r="AE105" i="1"/>
  <c r="AD105" i="1"/>
  <c r="AC105" i="1"/>
  <c r="AA105" i="1"/>
  <c r="Z105" i="1"/>
  <c r="U105" i="1"/>
  <c r="Q105" i="1"/>
  <c r="BF105" i="1" s="1"/>
  <c r="P105" i="1"/>
  <c r="O105" i="1"/>
  <c r="N105" i="1"/>
  <c r="M105" i="1"/>
  <c r="L105" i="1"/>
  <c r="H105" i="1"/>
  <c r="G105" i="1"/>
  <c r="F105" i="1"/>
  <c r="Y105" i="1" s="1"/>
  <c r="D105" i="1"/>
  <c r="BK104" i="1"/>
  <c r="BH104" i="1"/>
  <c r="BG104" i="1"/>
  <c r="AU104" i="1"/>
  <c r="AT104" i="1"/>
  <c r="AM104" i="1"/>
  <c r="AL104" i="1"/>
  <c r="AJ104" i="1"/>
  <c r="AI104" i="1"/>
  <c r="AH104" i="1"/>
  <c r="AE104" i="1"/>
  <c r="AD104" i="1"/>
  <c r="AC104" i="1"/>
  <c r="AA104" i="1"/>
  <c r="Z104" i="1"/>
  <c r="U104" i="1"/>
  <c r="Q104" i="1"/>
  <c r="BF104" i="1" s="1"/>
  <c r="P104" i="1"/>
  <c r="O104" i="1"/>
  <c r="N104" i="1"/>
  <c r="M104" i="1"/>
  <c r="L104" i="1"/>
  <c r="H104" i="1"/>
  <c r="G104" i="1"/>
  <c r="F104" i="1"/>
  <c r="Y104" i="1" s="1"/>
  <c r="D104" i="1"/>
  <c r="BK103" i="1"/>
  <c r="BH103" i="1"/>
  <c r="BG103" i="1"/>
  <c r="AU103" i="1"/>
  <c r="AT103" i="1"/>
  <c r="AM103" i="1"/>
  <c r="AL103" i="1"/>
  <c r="AJ103" i="1"/>
  <c r="AI103" i="1"/>
  <c r="AH103" i="1"/>
  <c r="AE103" i="1"/>
  <c r="AD103" i="1"/>
  <c r="AC103" i="1"/>
  <c r="AA103" i="1"/>
  <c r="Z103" i="1"/>
  <c r="U103" i="1"/>
  <c r="Q103" i="1"/>
  <c r="BF103" i="1" s="1"/>
  <c r="P103" i="1"/>
  <c r="O103" i="1"/>
  <c r="N103" i="1"/>
  <c r="M103" i="1"/>
  <c r="L103" i="1"/>
  <c r="H103" i="1"/>
  <c r="G103" i="1"/>
  <c r="F103" i="1"/>
  <c r="Y103" i="1" s="1"/>
  <c r="D103" i="1"/>
  <c r="BK102" i="1"/>
  <c r="BH102" i="1"/>
  <c r="BG102" i="1"/>
  <c r="AU102" i="1"/>
  <c r="AT102" i="1"/>
  <c r="AM102" i="1"/>
  <c r="AL102" i="1"/>
  <c r="AJ102" i="1"/>
  <c r="AI102" i="1"/>
  <c r="AH102" i="1"/>
  <c r="AE102" i="1"/>
  <c r="AD102" i="1"/>
  <c r="AC102" i="1"/>
  <c r="AA102" i="1"/>
  <c r="Z102" i="1"/>
  <c r="U102" i="1"/>
  <c r="Q102" i="1"/>
  <c r="BF102" i="1" s="1"/>
  <c r="P102" i="1"/>
  <c r="O102" i="1"/>
  <c r="N102" i="1"/>
  <c r="M102" i="1"/>
  <c r="L102" i="1"/>
  <c r="H102" i="1"/>
  <c r="G102" i="1"/>
  <c r="F102" i="1"/>
  <c r="Y102" i="1" s="1"/>
  <c r="D102" i="1"/>
  <c r="BK101" i="1"/>
  <c r="BH101" i="1"/>
  <c r="BG101" i="1"/>
  <c r="AU101" i="1"/>
  <c r="AT101" i="1"/>
  <c r="AM101" i="1"/>
  <c r="AL101" i="1"/>
  <c r="AJ101" i="1"/>
  <c r="AI101" i="1"/>
  <c r="AH101" i="1"/>
  <c r="AE101" i="1"/>
  <c r="AD101" i="1"/>
  <c r="AC101" i="1"/>
  <c r="AA101" i="1"/>
  <c r="Z101" i="1"/>
  <c r="U101" i="1"/>
  <c r="Q101" i="1"/>
  <c r="BF101" i="1" s="1"/>
  <c r="P101" i="1"/>
  <c r="O101" i="1"/>
  <c r="N101" i="1"/>
  <c r="M101" i="1"/>
  <c r="L101" i="1"/>
  <c r="H101" i="1"/>
  <c r="G101" i="1"/>
  <c r="F101" i="1"/>
  <c r="Y101" i="1" s="1"/>
  <c r="D101" i="1"/>
  <c r="BK100" i="1"/>
  <c r="BH100" i="1"/>
  <c r="BG100" i="1"/>
  <c r="AU100" i="1"/>
  <c r="AT100" i="1"/>
  <c r="AM100" i="1"/>
  <c r="AL100" i="1"/>
  <c r="AJ100" i="1"/>
  <c r="AI100" i="1"/>
  <c r="AH100" i="1"/>
  <c r="AE100" i="1"/>
  <c r="AD100" i="1"/>
  <c r="AC100" i="1"/>
  <c r="AA100" i="1"/>
  <c r="Z100" i="1"/>
  <c r="U100" i="1"/>
  <c r="Q100" i="1"/>
  <c r="BF100" i="1" s="1"/>
  <c r="P100" i="1"/>
  <c r="O100" i="1"/>
  <c r="N100" i="1"/>
  <c r="M100" i="1"/>
  <c r="L100" i="1"/>
  <c r="H100" i="1"/>
  <c r="G100" i="1"/>
  <c r="F100" i="1"/>
  <c r="Y100" i="1" s="1"/>
  <c r="D100" i="1"/>
  <c r="BK99" i="1"/>
  <c r="BH99" i="1"/>
  <c r="BG99" i="1"/>
  <c r="AU99" i="1"/>
  <c r="AT99" i="1"/>
  <c r="AM99" i="1"/>
  <c r="AL99" i="1"/>
  <c r="AJ99" i="1"/>
  <c r="AI99" i="1"/>
  <c r="AH99" i="1"/>
  <c r="AE99" i="1"/>
  <c r="AD99" i="1"/>
  <c r="AC99" i="1"/>
  <c r="AA99" i="1"/>
  <c r="Z99" i="1"/>
  <c r="U99" i="1"/>
  <c r="Q99" i="1"/>
  <c r="BF99" i="1" s="1"/>
  <c r="P99" i="1"/>
  <c r="O99" i="1"/>
  <c r="N99" i="1"/>
  <c r="M99" i="1"/>
  <c r="L99" i="1"/>
  <c r="H99" i="1"/>
  <c r="G99" i="1"/>
  <c r="F99" i="1"/>
  <c r="Y99" i="1" s="1"/>
  <c r="D99" i="1"/>
  <c r="BK98" i="1"/>
  <c r="BH98" i="1"/>
  <c r="BG98" i="1"/>
  <c r="AU98" i="1"/>
  <c r="AT98" i="1"/>
  <c r="AM98" i="1"/>
  <c r="AL98" i="1"/>
  <c r="AJ98" i="1"/>
  <c r="AI98" i="1"/>
  <c r="AH98" i="1"/>
  <c r="AE98" i="1"/>
  <c r="AD98" i="1"/>
  <c r="AC98" i="1"/>
  <c r="AA98" i="1"/>
  <c r="Z98" i="1"/>
  <c r="U98" i="1"/>
  <c r="Q98" i="1"/>
  <c r="BF98" i="1" s="1"/>
  <c r="P98" i="1"/>
  <c r="O98" i="1"/>
  <c r="N98" i="1"/>
  <c r="M98" i="1"/>
  <c r="L98" i="1"/>
  <c r="H98" i="1"/>
  <c r="G98" i="1"/>
  <c r="F98" i="1"/>
  <c r="Y98" i="1" s="1"/>
  <c r="D98" i="1"/>
  <c r="BK97" i="1"/>
  <c r="BH97" i="1"/>
  <c r="BG97" i="1"/>
  <c r="AU97" i="1"/>
  <c r="AT97" i="1"/>
  <c r="AM97" i="1"/>
  <c r="AL97" i="1"/>
  <c r="AJ97" i="1"/>
  <c r="AI97" i="1"/>
  <c r="AH97" i="1"/>
  <c r="AE97" i="1"/>
  <c r="AD97" i="1"/>
  <c r="AC97" i="1"/>
  <c r="AA97" i="1"/>
  <c r="Z97" i="1"/>
  <c r="U97" i="1"/>
  <c r="Q97" i="1"/>
  <c r="BF97" i="1" s="1"/>
  <c r="P97" i="1"/>
  <c r="O97" i="1"/>
  <c r="N97" i="1"/>
  <c r="M97" i="1"/>
  <c r="L97" i="1"/>
  <c r="H97" i="1"/>
  <c r="G97" i="1"/>
  <c r="F97" i="1"/>
  <c r="Y97" i="1" s="1"/>
  <c r="D97" i="1"/>
  <c r="BK96" i="1"/>
  <c r="BH96" i="1"/>
  <c r="BG96" i="1"/>
  <c r="AU96" i="1"/>
  <c r="AT96" i="1"/>
  <c r="AM96" i="1"/>
  <c r="AL96" i="1"/>
  <c r="AJ96" i="1"/>
  <c r="AI96" i="1"/>
  <c r="AH96" i="1"/>
  <c r="AE96" i="1"/>
  <c r="AD96" i="1"/>
  <c r="AC96" i="1"/>
  <c r="AA96" i="1"/>
  <c r="Z96" i="1"/>
  <c r="U96" i="1"/>
  <c r="Q96" i="1"/>
  <c r="BF96" i="1" s="1"/>
  <c r="P96" i="1"/>
  <c r="O96" i="1"/>
  <c r="N96" i="1"/>
  <c r="M96" i="1"/>
  <c r="L96" i="1"/>
  <c r="H96" i="1"/>
  <c r="G96" i="1"/>
  <c r="F96" i="1"/>
  <c r="Y96" i="1" s="1"/>
  <c r="D96" i="1"/>
  <c r="BK95" i="1"/>
  <c r="BH95" i="1"/>
  <c r="BG95" i="1"/>
  <c r="AU95" i="1"/>
  <c r="AT95" i="1"/>
  <c r="AM95" i="1"/>
  <c r="AL95" i="1"/>
  <c r="AJ95" i="1"/>
  <c r="AI95" i="1"/>
  <c r="AH95" i="1"/>
  <c r="AE95" i="1"/>
  <c r="AD95" i="1"/>
  <c r="AC95" i="1"/>
  <c r="AA95" i="1"/>
  <c r="Z95" i="1"/>
  <c r="U95" i="1"/>
  <c r="Q95" i="1"/>
  <c r="BF95" i="1" s="1"/>
  <c r="P95" i="1"/>
  <c r="O95" i="1"/>
  <c r="N95" i="1"/>
  <c r="M95" i="1"/>
  <c r="L95" i="1"/>
  <c r="H95" i="1"/>
  <c r="G95" i="1"/>
  <c r="F95" i="1"/>
  <c r="Y95" i="1" s="1"/>
  <c r="D95" i="1"/>
  <c r="BK94" i="1"/>
  <c r="BH94" i="1"/>
  <c r="BG94" i="1"/>
  <c r="AU94" i="1"/>
  <c r="AT94" i="1"/>
  <c r="AM94" i="1"/>
  <c r="AL94" i="1"/>
  <c r="AJ94" i="1"/>
  <c r="AI94" i="1"/>
  <c r="AH94" i="1"/>
  <c r="AE94" i="1"/>
  <c r="AD94" i="1"/>
  <c r="AC94" i="1"/>
  <c r="AA94" i="1"/>
  <c r="Z94" i="1"/>
  <c r="U94" i="1"/>
  <c r="Q94" i="1"/>
  <c r="BF94" i="1" s="1"/>
  <c r="P94" i="1"/>
  <c r="O94" i="1"/>
  <c r="N94" i="1"/>
  <c r="M94" i="1"/>
  <c r="L94" i="1"/>
  <c r="H94" i="1"/>
  <c r="G94" i="1"/>
  <c r="F94" i="1"/>
  <c r="Y94" i="1" s="1"/>
  <c r="D94" i="1"/>
  <c r="BK93" i="1"/>
  <c r="BH93" i="1"/>
  <c r="BG93" i="1"/>
  <c r="AU93" i="1"/>
  <c r="AT93" i="1"/>
  <c r="AM93" i="1"/>
  <c r="AL93" i="1"/>
  <c r="AJ93" i="1"/>
  <c r="AI93" i="1"/>
  <c r="AH93" i="1"/>
  <c r="AE93" i="1"/>
  <c r="AD93" i="1"/>
  <c r="AC93" i="1"/>
  <c r="AA93" i="1"/>
  <c r="Z93" i="1"/>
  <c r="U93" i="1"/>
  <c r="Q93" i="1"/>
  <c r="BF93" i="1" s="1"/>
  <c r="P93" i="1"/>
  <c r="O93" i="1"/>
  <c r="N93" i="1"/>
  <c r="M93" i="1"/>
  <c r="L93" i="1"/>
  <c r="H93" i="1"/>
  <c r="G93" i="1"/>
  <c r="F93" i="1"/>
  <c r="Y93" i="1" s="1"/>
  <c r="D93" i="1"/>
  <c r="BK92" i="1"/>
  <c r="BH92" i="1"/>
  <c r="BG92" i="1"/>
  <c r="AU92" i="1"/>
  <c r="AT92" i="1"/>
  <c r="AM92" i="1"/>
  <c r="AL92" i="1"/>
  <c r="AJ92" i="1"/>
  <c r="AI92" i="1"/>
  <c r="AH92" i="1"/>
  <c r="AE92" i="1"/>
  <c r="AD92" i="1"/>
  <c r="AC92" i="1"/>
  <c r="AA92" i="1"/>
  <c r="Z92" i="1"/>
  <c r="U92" i="1"/>
  <c r="Q92" i="1"/>
  <c r="BF92" i="1" s="1"/>
  <c r="P92" i="1"/>
  <c r="O92" i="1"/>
  <c r="N92" i="1"/>
  <c r="M92" i="1"/>
  <c r="L92" i="1"/>
  <c r="H92" i="1"/>
  <c r="G92" i="1"/>
  <c r="F92" i="1"/>
  <c r="Y92" i="1" s="1"/>
  <c r="D92" i="1"/>
  <c r="BK91" i="1"/>
  <c r="BH91" i="1"/>
  <c r="BG91" i="1"/>
  <c r="AU91" i="1"/>
  <c r="AT91" i="1"/>
  <c r="AM91" i="1"/>
  <c r="AL91" i="1"/>
  <c r="AJ91" i="1"/>
  <c r="AI91" i="1"/>
  <c r="AH91" i="1"/>
  <c r="AE91" i="1"/>
  <c r="AD91" i="1"/>
  <c r="AC91" i="1"/>
  <c r="AA91" i="1"/>
  <c r="Z91" i="1"/>
  <c r="U91" i="1"/>
  <c r="Q91" i="1"/>
  <c r="BF91" i="1" s="1"/>
  <c r="P91" i="1"/>
  <c r="O91" i="1"/>
  <c r="N91" i="1"/>
  <c r="M91" i="1"/>
  <c r="L91" i="1"/>
  <c r="H91" i="1"/>
  <c r="G91" i="1"/>
  <c r="F91" i="1"/>
  <c r="Y91" i="1" s="1"/>
  <c r="D91" i="1"/>
  <c r="BK90" i="1"/>
  <c r="BH90" i="1"/>
  <c r="BG90" i="1"/>
  <c r="AU90" i="1"/>
  <c r="AT90" i="1"/>
  <c r="AM90" i="1"/>
  <c r="AL90" i="1"/>
  <c r="AJ90" i="1"/>
  <c r="AI90" i="1"/>
  <c r="AH90" i="1"/>
  <c r="AE90" i="1"/>
  <c r="AD90" i="1"/>
  <c r="AC90" i="1"/>
  <c r="AA90" i="1"/>
  <c r="Z90" i="1"/>
  <c r="U90" i="1"/>
  <c r="Q90" i="1"/>
  <c r="BF90" i="1" s="1"/>
  <c r="P90" i="1"/>
  <c r="O90" i="1"/>
  <c r="N90" i="1"/>
  <c r="M90" i="1"/>
  <c r="L90" i="1"/>
  <c r="H90" i="1"/>
  <c r="G90" i="1"/>
  <c r="F90" i="1"/>
  <c r="Y90" i="1" s="1"/>
  <c r="D90" i="1"/>
  <c r="BK89" i="1"/>
  <c r="BH89" i="1"/>
  <c r="BG89" i="1"/>
  <c r="AU89" i="1"/>
  <c r="AT89" i="1"/>
  <c r="AM89" i="1"/>
  <c r="AL89" i="1"/>
  <c r="AJ89" i="1"/>
  <c r="AI89" i="1"/>
  <c r="AH89" i="1"/>
  <c r="AE89" i="1"/>
  <c r="AD89" i="1"/>
  <c r="AC89" i="1"/>
  <c r="AA89" i="1"/>
  <c r="Z89" i="1"/>
  <c r="U89" i="1"/>
  <c r="Q89" i="1"/>
  <c r="BF89" i="1" s="1"/>
  <c r="P89" i="1"/>
  <c r="O89" i="1"/>
  <c r="N89" i="1"/>
  <c r="M89" i="1"/>
  <c r="L89" i="1"/>
  <c r="H89" i="1"/>
  <c r="G89" i="1"/>
  <c r="F89" i="1"/>
  <c r="Y89" i="1" s="1"/>
  <c r="D89" i="1"/>
  <c r="BK88" i="1"/>
  <c r="BH88" i="1"/>
  <c r="BG88" i="1"/>
  <c r="AU88" i="1"/>
  <c r="AT88" i="1"/>
  <c r="AM88" i="1"/>
  <c r="AL88" i="1"/>
  <c r="AJ88" i="1"/>
  <c r="AI88" i="1"/>
  <c r="AH88" i="1"/>
  <c r="AE88" i="1"/>
  <c r="AD88" i="1"/>
  <c r="AC88" i="1"/>
  <c r="AA88" i="1"/>
  <c r="Z88" i="1"/>
  <c r="U88" i="1"/>
  <c r="Q88" i="1"/>
  <c r="BF88" i="1" s="1"/>
  <c r="P88" i="1"/>
  <c r="O88" i="1"/>
  <c r="N88" i="1"/>
  <c r="M88" i="1"/>
  <c r="L88" i="1"/>
  <c r="H88" i="1"/>
  <c r="G88" i="1"/>
  <c r="F88" i="1"/>
  <c r="Y88" i="1" s="1"/>
  <c r="D88" i="1"/>
  <c r="BK87" i="1"/>
  <c r="BH87" i="1"/>
  <c r="BG87" i="1"/>
  <c r="AU87" i="1"/>
  <c r="AT87" i="1"/>
  <c r="AM87" i="1"/>
  <c r="AL87" i="1"/>
  <c r="AJ87" i="1"/>
  <c r="AI87" i="1"/>
  <c r="AH87" i="1"/>
  <c r="AE87" i="1"/>
  <c r="AD87" i="1"/>
  <c r="AC87" i="1"/>
  <c r="AA87" i="1"/>
  <c r="Z87" i="1"/>
  <c r="U87" i="1"/>
  <c r="Q87" i="1"/>
  <c r="BF87" i="1" s="1"/>
  <c r="P87" i="1"/>
  <c r="O87" i="1"/>
  <c r="N87" i="1"/>
  <c r="M87" i="1"/>
  <c r="L87" i="1"/>
  <c r="H87" i="1"/>
  <c r="G87" i="1"/>
  <c r="F87" i="1"/>
  <c r="Y87" i="1" s="1"/>
  <c r="D87" i="1"/>
  <c r="BK86" i="1"/>
  <c r="BH86" i="1"/>
  <c r="BG86" i="1"/>
  <c r="AU86" i="1"/>
  <c r="AT86" i="1"/>
  <c r="AM86" i="1"/>
  <c r="AL86" i="1"/>
  <c r="AJ86" i="1"/>
  <c r="AI86" i="1"/>
  <c r="AH86" i="1"/>
  <c r="AE86" i="1"/>
  <c r="AD86" i="1"/>
  <c r="AC86" i="1"/>
  <c r="AA86" i="1"/>
  <c r="Z86" i="1"/>
  <c r="U86" i="1"/>
  <c r="Q86" i="1"/>
  <c r="BF86" i="1" s="1"/>
  <c r="P86" i="1"/>
  <c r="O86" i="1"/>
  <c r="N86" i="1"/>
  <c r="M86" i="1"/>
  <c r="L86" i="1"/>
  <c r="H86" i="1"/>
  <c r="G86" i="1"/>
  <c r="F86" i="1"/>
  <c r="Y86" i="1" s="1"/>
  <c r="D86" i="1"/>
  <c r="BK85" i="1"/>
  <c r="BH85" i="1"/>
  <c r="BG85" i="1"/>
  <c r="AU85" i="1"/>
  <c r="AT85" i="1"/>
  <c r="AM85" i="1"/>
  <c r="AL85" i="1"/>
  <c r="AJ85" i="1"/>
  <c r="AI85" i="1"/>
  <c r="AH85" i="1"/>
  <c r="AE85" i="1"/>
  <c r="AD85" i="1"/>
  <c r="AC85" i="1"/>
  <c r="AA85" i="1"/>
  <c r="Z85" i="1"/>
  <c r="U85" i="1"/>
  <c r="Q85" i="1"/>
  <c r="BF85" i="1" s="1"/>
  <c r="P85" i="1"/>
  <c r="O85" i="1"/>
  <c r="N85" i="1"/>
  <c r="M85" i="1"/>
  <c r="L85" i="1"/>
  <c r="H85" i="1"/>
  <c r="G85" i="1"/>
  <c r="F85" i="1"/>
  <c r="Y85" i="1" s="1"/>
  <c r="D85" i="1"/>
  <c r="BK84" i="1"/>
  <c r="BH84" i="1"/>
  <c r="BG84" i="1"/>
  <c r="AU84" i="1"/>
  <c r="AT84" i="1"/>
  <c r="AM84" i="1"/>
  <c r="AL84" i="1"/>
  <c r="AJ84" i="1"/>
  <c r="AI84" i="1"/>
  <c r="AH84" i="1"/>
  <c r="AE84" i="1"/>
  <c r="AD84" i="1"/>
  <c r="AC84" i="1"/>
  <c r="AA84" i="1"/>
  <c r="Z84" i="1"/>
  <c r="U84" i="1"/>
  <c r="Q84" i="1"/>
  <c r="BF84" i="1" s="1"/>
  <c r="P84" i="1"/>
  <c r="O84" i="1"/>
  <c r="N84" i="1"/>
  <c r="M84" i="1"/>
  <c r="L84" i="1"/>
  <c r="H84" i="1"/>
  <c r="G84" i="1"/>
  <c r="F84" i="1"/>
  <c r="Y84" i="1" s="1"/>
  <c r="D84" i="1"/>
  <c r="BK83" i="1"/>
  <c r="BH83" i="1"/>
  <c r="BG83" i="1"/>
  <c r="AU83" i="1"/>
  <c r="AT83" i="1"/>
  <c r="AM83" i="1"/>
  <c r="AL83" i="1"/>
  <c r="AJ83" i="1"/>
  <c r="AI83" i="1"/>
  <c r="AH83" i="1"/>
  <c r="AE83" i="1"/>
  <c r="AD83" i="1"/>
  <c r="AC83" i="1"/>
  <c r="AA83" i="1"/>
  <c r="Z83" i="1"/>
  <c r="U83" i="1"/>
  <c r="Q83" i="1"/>
  <c r="BF83" i="1" s="1"/>
  <c r="P83" i="1"/>
  <c r="O83" i="1"/>
  <c r="N83" i="1"/>
  <c r="M83" i="1"/>
  <c r="L83" i="1"/>
  <c r="H83" i="1"/>
  <c r="G83" i="1"/>
  <c r="F83" i="1"/>
  <c r="Y83" i="1" s="1"/>
  <c r="D83" i="1"/>
  <c r="BK82" i="1"/>
  <c r="BH82" i="1"/>
  <c r="BG82" i="1"/>
  <c r="AU82" i="1"/>
  <c r="AT82" i="1"/>
  <c r="AM82" i="1"/>
  <c r="AL82" i="1"/>
  <c r="AJ82" i="1"/>
  <c r="AI82" i="1"/>
  <c r="AH82" i="1"/>
  <c r="AE82" i="1"/>
  <c r="AD82" i="1"/>
  <c r="AC82" i="1"/>
  <c r="AA82" i="1"/>
  <c r="Z82" i="1"/>
  <c r="U82" i="1"/>
  <c r="Q82" i="1"/>
  <c r="BF82" i="1" s="1"/>
  <c r="P82" i="1"/>
  <c r="O82" i="1"/>
  <c r="N82" i="1"/>
  <c r="M82" i="1"/>
  <c r="L82" i="1"/>
  <c r="H82" i="1"/>
  <c r="G82" i="1"/>
  <c r="F82" i="1"/>
  <c r="Y82" i="1" s="1"/>
  <c r="D82" i="1"/>
  <c r="BK81" i="1"/>
  <c r="BH81" i="1"/>
  <c r="BG81" i="1"/>
  <c r="AU81" i="1"/>
  <c r="AT81" i="1"/>
  <c r="AM81" i="1"/>
  <c r="AL81" i="1"/>
  <c r="AJ81" i="1"/>
  <c r="AI81" i="1"/>
  <c r="AH81" i="1"/>
  <c r="AE81" i="1"/>
  <c r="AD81" i="1"/>
  <c r="AC81" i="1"/>
  <c r="AA81" i="1"/>
  <c r="Z81" i="1"/>
  <c r="U81" i="1"/>
  <c r="Q81" i="1"/>
  <c r="BF81" i="1" s="1"/>
  <c r="P81" i="1"/>
  <c r="O81" i="1"/>
  <c r="N81" i="1"/>
  <c r="M81" i="1"/>
  <c r="L81" i="1"/>
  <c r="H81" i="1"/>
  <c r="G81" i="1"/>
  <c r="F81" i="1"/>
  <c r="Y81" i="1" s="1"/>
  <c r="D81" i="1"/>
  <c r="BK80" i="1"/>
  <c r="BH80" i="1"/>
  <c r="BG80" i="1"/>
  <c r="AU80" i="1"/>
  <c r="AT80" i="1"/>
  <c r="AM80" i="1"/>
  <c r="AL80" i="1"/>
  <c r="AJ80" i="1"/>
  <c r="AI80" i="1"/>
  <c r="AH80" i="1"/>
  <c r="AE80" i="1"/>
  <c r="AD80" i="1"/>
  <c r="AC80" i="1"/>
  <c r="AA80" i="1"/>
  <c r="Z80" i="1"/>
  <c r="U80" i="1"/>
  <c r="Q80" i="1"/>
  <c r="BF80" i="1" s="1"/>
  <c r="P80" i="1"/>
  <c r="O80" i="1"/>
  <c r="N80" i="1"/>
  <c r="M80" i="1"/>
  <c r="L80" i="1"/>
  <c r="H80" i="1"/>
  <c r="G80" i="1"/>
  <c r="F80" i="1"/>
  <c r="Y80" i="1" s="1"/>
  <c r="D80" i="1"/>
  <c r="BK79" i="1"/>
  <c r="BH79" i="1"/>
  <c r="BG79" i="1"/>
  <c r="AU79" i="1"/>
  <c r="AT79" i="1"/>
  <c r="AM79" i="1"/>
  <c r="AL79" i="1"/>
  <c r="AJ79" i="1"/>
  <c r="AI79" i="1"/>
  <c r="AH79" i="1"/>
  <c r="AE79" i="1"/>
  <c r="AD79" i="1"/>
  <c r="AC79" i="1"/>
  <c r="AA79" i="1"/>
  <c r="Z79" i="1"/>
  <c r="U79" i="1"/>
  <c r="Q79" i="1"/>
  <c r="BF79" i="1" s="1"/>
  <c r="P79" i="1"/>
  <c r="O79" i="1"/>
  <c r="N79" i="1"/>
  <c r="M79" i="1"/>
  <c r="L79" i="1"/>
  <c r="H79" i="1"/>
  <c r="G79" i="1"/>
  <c r="F79" i="1"/>
  <c r="Y79" i="1" s="1"/>
  <c r="D79" i="1"/>
  <c r="BK78" i="1"/>
  <c r="BH78" i="1"/>
  <c r="BG78" i="1"/>
  <c r="AU78" i="1"/>
  <c r="AT78" i="1"/>
  <c r="AM78" i="1"/>
  <c r="AL78" i="1"/>
  <c r="AJ78" i="1"/>
  <c r="AI78" i="1"/>
  <c r="AH78" i="1"/>
  <c r="AE78" i="1"/>
  <c r="AD78" i="1"/>
  <c r="AC78" i="1"/>
  <c r="AA78" i="1"/>
  <c r="Z78" i="1"/>
  <c r="U78" i="1"/>
  <c r="Q78" i="1"/>
  <c r="BF78" i="1" s="1"/>
  <c r="P78" i="1"/>
  <c r="O78" i="1"/>
  <c r="N78" i="1"/>
  <c r="M78" i="1"/>
  <c r="L78" i="1"/>
  <c r="H78" i="1"/>
  <c r="G78" i="1"/>
  <c r="F78" i="1"/>
  <c r="Y78" i="1" s="1"/>
  <c r="D78" i="1"/>
  <c r="BK77" i="1"/>
  <c r="BH77" i="1"/>
  <c r="BG77" i="1"/>
  <c r="AU77" i="1"/>
  <c r="AT77" i="1"/>
  <c r="AM77" i="1"/>
  <c r="AL77" i="1"/>
  <c r="AJ77" i="1"/>
  <c r="AI77" i="1"/>
  <c r="AH77" i="1"/>
  <c r="AE77" i="1"/>
  <c r="AD77" i="1"/>
  <c r="AC77" i="1"/>
  <c r="AA77" i="1"/>
  <c r="Z77" i="1"/>
  <c r="U77" i="1"/>
  <c r="Q77" i="1"/>
  <c r="BF77" i="1" s="1"/>
  <c r="P77" i="1"/>
  <c r="O77" i="1"/>
  <c r="N77" i="1"/>
  <c r="M77" i="1"/>
  <c r="L77" i="1"/>
  <c r="H77" i="1"/>
  <c r="G77" i="1"/>
  <c r="F77" i="1"/>
  <c r="Y77" i="1" s="1"/>
  <c r="D77" i="1"/>
  <c r="BK76" i="1"/>
  <c r="BH76" i="1"/>
  <c r="BG76" i="1"/>
  <c r="AU76" i="1"/>
  <c r="AT76" i="1"/>
  <c r="AM76" i="1"/>
  <c r="AL76" i="1"/>
  <c r="AJ76" i="1"/>
  <c r="AI76" i="1"/>
  <c r="AH76" i="1"/>
  <c r="AE76" i="1"/>
  <c r="AD76" i="1"/>
  <c r="AC76" i="1"/>
  <c r="AA76" i="1"/>
  <c r="Z76" i="1"/>
  <c r="U76" i="1"/>
  <c r="Q76" i="1"/>
  <c r="BF76" i="1" s="1"/>
  <c r="P76" i="1"/>
  <c r="O76" i="1"/>
  <c r="N76" i="1"/>
  <c r="M76" i="1"/>
  <c r="L76" i="1"/>
  <c r="H76" i="1"/>
  <c r="G76" i="1"/>
  <c r="F76" i="1"/>
  <c r="Y76" i="1" s="1"/>
  <c r="D76" i="1"/>
  <c r="BK75" i="1"/>
  <c r="BH75" i="1"/>
  <c r="BG75" i="1"/>
  <c r="AU75" i="1"/>
  <c r="AT75" i="1"/>
  <c r="AM75" i="1"/>
  <c r="AL75" i="1"/>
  <c r="AJ75" i="1"/>
  <c r="AI75" i="1"/>
  <c r="AH75" i="1"/>
  <c r="AE75" i="1"/>
  <c r="AD75" i="1"/>
  <c r="AC75" i="1"/>
  <c r="AA75" i="1"/>
  <c r="Z75" i="1"/>
  <c r="Y75" i="1"/>
  <c r="U75" i="1"/>
  <c r="Q75" i="1"/>
  <c r="BF75" i="1" s="1"/>
  <c r="P75" i="1"/>
  <c r="O75" i="1"/>
  <c r="N75" i="1"/>
  <c r="M75" i="1"/>
  <c r="L75" i="1"/>
  <c r="H75" i="1"/>
  <c r="G75" i="1"/>
  <c r="F75" i="1"/>
  <c r="D75" i="1"/>
  <c r="BK74" i="1"/>
  <c r="BH74" i="1"/>
  <c r="BG74" i="1"/>
  <c r="AU74" i="1"/>
  <c r="AT74" i="1"/>
  <c r="AM74" i="1"/>
  <c r="AL74" i="1"/>
  <c r="AJ74" i="1"/>
  <c r="AI74" i="1"/>
  <c r="AH74" i="1"/>
  <c r="AE74" i="1"/>
  <c r="AD74" i="1"/>
  <c r="AC74" i="1"/>
  <c r="AA74" i="1"/>
  <c r="Z74" i="1"/>
  <c r="Y74" i="1"/>
  <c r="U74" i="1"/>
  <c r="Q74" i="1"/>
  <c r="BF74" i="1" s="1"/>
  <c r="P74" i="1"/>
  <c r="O74" i="1"/>
  <c r="N74" i="1"/>
  <c r="M74" i="1"/>
  <c r="L74" i="1"/>
  <c r="H74" i="1"/>
  <c r="G74" i="1"/>
  <c r="F74" i="1"/>
  <c r="D74" i="1"/>
  <c r="BK73" i="1"/>
  <c r="BH73" i="1"/>
  <c r="BG73" i="1"/>
  <c r="AU73" i="1"/>
  <c r="AT73" i="1"/>
  <c r="AM73" i="1"/>
  <c r="AL73" i="1"/>
  <c r="AJ73" i="1"/>
  <c r="AI73" i="1"/>
  <c r="AH73" i="1"/>
  <c r="AE73" i="1"/>
  <c r="AD73" i="1"/>
  <c r="AC73" i="1"/>
  <c r="AA73" i="1"/>
  <c r="Z73" i="1"/>
  <c r="Y73" i="1"/>
  <c r="U73" i="1"/>
  <c r="Q73" i="1"/>
  <c r="BF73" i="1" s="1"/>
  <c r="P73" i="1"/>
  <c r="O73" i="1"/>
  <c r="N73" i="1"/>
  <c r="M73" i="1"/>
  <c r="L73" i="1"/>
  <c r="H73" i="1"/>
  <c r="G73" i="1"/>
  <c r="F73" i="1"/>
  <c r="D73" i="1"/>
  <c r="BK72" i="1"/>
  <c r="BH72" i="1"/>
  <c r="BG72" i="1"/>
  <c r="AU72" i="1"/>
  <c r="AT72" i="1"/>
  <c r="AM72" i="1"/>
  <c r="AL72" i="1"/>
  <c r="AJ72" i="1"/>
  <c r="AI72" i="1"/>
  <c r="AH72" i="1"/>
  <c r="AE72" i="1"/>
  <c r="AD72" i="1"/>
  <c r="AC72" i="1"/>
  <c r="AA72" i="1"/>
  <c r="Z72" i="1"/>
  <c r="Y72" i="1"/>
  <c r="U72" i="1"/>
  <c r="Q72" i="1"/>
  <c r="BF72" i="1" s="1"/>
  <c r="P72" i="1"/>
  <c r="O72" i="1"/>
  <c r="N72" i="1"/>
  <c r="M72" i="1"/>
  <c r="L72" i="1"/>
  <c r="H72" i="1"/>
  <c r="G72" i="1"/>
  <c r="F72" i="1"/>
  <c r="D72" i="1"/>
  <c r="BK71" i="1"/>
  <c r="BH71" i="1"/>
  <c r="BG71" i="1"/>
  <c r="AU71" i="1"/>
  <c r="AT71" i="1"/>
  <c r="AM71" i="1"/>
  <c r="AL71" i="1"/>
  <c r="AJ71" i="1"/>
  <c r="AI71" i="1"/>
  <c r="AH71" i="1"/>
  <c r="AE71" i="1"/>
  <c r="AD71" i="1"/>
  <c r="AC71" i="1"/>
  <c r="AA71" i="1"/>
  <c r="Z71" i="1"/>
  <c r="Y71" i="1"/>
  <c r="U71" i="1"/>
  <c r="Q71" i="1"/>
  <c r="BF71" i="1" s="1"/>
  <c r="P71" i="1"/>
  <c r="O71" i="1"/>
  <c r="N71" i="1"/>
  <c r="M71" i="1"/>
  <c r="L71" i="1"/>
  <c r="H71" i="1"/>
  <c r="G71" i="1"/>
  <c r="F71" i="1"/>
  <c r="D71" i="1"/>
  <c r="BK70" i="1"/>
  <c r="BH70" i="1"/>
  <c r="BG70" i="1"/>
  <c r="AU70" i="1"/>
  <c r="AT70" i="1"/>
  <c r="AM70" i="1"/>
  <c r="AL70" i="1"/>
  <c r="AJ70" i="1"/>
  <c r="AI70" i="1"/>
  <c r="AH70" i="1"/>
  <c r="AE70" i="1"/>
  <c r="AD70" i="1"/>
  <c r="AC70" i="1"/>
  <c r="AA70" i="1"/>
  <c r="Z70" i="1"/>
  <c r="Y70" i="1"/>
  <c r="U70" i="1"/>
  <c r="Q70" i="1"/>
  <c r="BF70" i="1" s="1"/>
  <c r="P70" i="1"/>
  <c r="O70" i="1"/>
  <c r="N70" i="1"/>
  <c r="M70" i="1"/>
  <c r="L70" i="1"/>
  <c r="H70" i="1"/>
  <c r="G70" i="1"/>
  <c r="F70" i="1"/>
  <c r="D70" i="1"/>
  <c r="BK69" i="1"/>
  <c r="BH69" i="1"/>
  <c r="BG69" i="1"/>
  <c r="AU69" i="1"/>
  <c r="AT69" i="1"/>
  <c r="AM69" i="1"/>
  <c r="AL69" i="1"/>
  <c r="AJ69" i="1"/>
  <c r="AI69" i="1"/>
  <c r="AH69" i="1"/>
  <c r="AE69" i="1"/>
  <c r="AD69" i="1"/>
  <c r="AC69" i="1"/>
  <c r="AA69" i="1"/>
  <c r="Z69" i="1"/>
  <c r="Y69" i="1"/>
  <c r="U69" i="1"/>
  <c r="Q69" i="1"/>
  <c r="BF69" i="1" s="1"/>
  <c r="P69" i="1"/>
  <c r="O69" i="1"/>
  <c r="N69" i="1"/>
  <c r="M69" i="1"/>
  <c r="L69" i="1"/>
  <c r="H69" i="1"/>
  <c r="G69" i="1"/>
  <c r="F69" i="1"/>
  <c r="D69" i="1"/>
  <c r="BK68" i="1"/>
  <c r="BH68" i="1"/>
  <c r="BG68" i="1"/>
  <c r="AU68" i="1"/>
  <c r="AT68" i="1"/>
  <c r="AM68" i="1"/>
  <c r="AL68" i="1"/>
  <c r="AJ68" i="1"/>
  <c r="AI68" i="1"/>
  <c r="AH68" i="1"/>
  <c r="AE68" i="1"/>
  <c r="AD68" i="1"/>
  <c r="AC68" i="1"/>
  <c r="AA68" i="1"/>
  <c r="Z68" i="1"/>
  <c r="Y68" i="1"/>
  <c r="U68" i="1"/>
  <c r="Q68" i="1"/>
  <c r="BF68" i="1" s="1"/>
  <c r="P68" i="1"/>
  <c r="O68" i="1"/>
  <c r="N68" i="1"/>
  <c r="M68" i="1"/>
  <c r="L68" i="1"/>
  <c r="H68" i="1"/>
  <c r="G68" i="1"/>
  <c r="F68" i="1"/>
  <c r="D68" i="1"/>
  <c r="BK67" i="1"/>
  <c r="BH67" i="1"/>
  <c r="BG67" i="1"/>
  <c r="AU67" i="1"/>
  <c r="AT67" i="1"/>
  <c r="AM67" i="1"/>
  <c r="AL67" i="1"/>
  <c r="AJ67" i="1"/>
  <c r="AI67" i="1"/>
  <c r="AH67" i="1"/>
  <c r="AE67" i="1"/>
  <c r="AD67" i="1"/>
  <c r="AC67" i="1"/>
  <c r="AA67" i="1"/>
  <c r="Z67" i="1"/>
  <c r="Y67" i="1"/>
  <c r="U67" i="1"/>
  <c r="Q67" i="1"/>
  <c r="BF67" i="1" s="1"/>
  <c r="P67" i="1"/>
  <c r="O67" i="1"/>
  <c r="N67" i="1"/>
  <c r="M67" i="1"/>
  <c r="L67" i="1"/>
  <c r="H67" i="1"/>
  <c r="G67" i="1"/>
  <c r="F67" i="1"/>
  <c r="D67" i="1"/>
  <c r="BK66" i="1"/>
  <c r="BH66" i="1"/>
  <c r="BG66" i="1"/>
  <c r="AU66" i="1"/>
  <c r="AT66" i="1"/>
  <c r="AM66" i="1"/>
  <c r="AL66" i="1"/>
  <c r="AJ66" i="1"/>
  <c r="AI66" i="1"/>
  <c r="AH66" i="1"/>
  <c r="AE66" i="1"/>
  <c r="AD66" i="1"/>
  <c r="AC66" i="1"/>
  <c r="AA66" i="1"/>
  <c r="Z66" i="1"/>
  <c r="Y66" i="1"/>
  <c r="U66" i="1"/>
  <c r="Q66" i="1"/>
  <c r="BF66" i="1" s="1"/>
  <c r="P66" i="1"/>
  <c r="O66" i="1"/>
  <c r="N66" i="1"/>
  <c r="M66" i="1"/>
  <c r="L66" i="1"/>
  <c r="H66" i="1"/>
  <c r="G66" i="1"/>
  <c r="F66" i="1"/>
  <c r="D66" i="1"/>
  <c r="BK65" i="1"/>
  <c r="BH65" i="1"/>
  <c r="BG65" i="1"/>
  <c r="AU65" i="1"/>
  <c r="AT65" i="1"/>
  <c r="AM65" i="1"/>
  <c r="AL65" i="1"/>
  <c r="AJ65" i="1"/>
  <c r="AI65" i="1"/>
  <c r="AH65" i="1"/>
  <c r="AE65" i="1"/>
  <c r="AD65" i="1"/>
  <c r="AC65" i="1"/>
  <c r="AA65" i="1"/>
  <c r="Z65" i="1"/>
  <c r="Y65" i="1"/>
  <c r="U65" i="1"/>
  <c r="Q65" i="1"/>
  <c r="BF65" i="1" s="1"/>
  <c r="P65" i="1"/>
  <c r="O65" i="1"/>
  <c r="N65" i="1"/>
  <c r="M65" i="1"/>
  <c r="L65" i="1"/>
  <c r="H65" i="1"/>
  <c r="G65" i="1"/>
  <c r="F65" i="1"/>
  <c r="D65" i="1"/>
  <c r="BK64" i="1"/>
  <c r="BH64" i="1"/>
  <c r="BG64" i="1"/>
  <c r="AU64" i="1"/>
  <c r="AT64" i="1"/>
  <c r="AM64" i="1"/>
  <c r="AL64" i="1"/>
  <c r="AJ64" i="1"/>
  <c r="AI64" i="1"/>
  <c r="AH64" i="1"/>
  <c r="AE64" i="1"/>
  <c r="AD64" i="1"/>
  <c r="AC64" i="1"/>
  <c r="AA64" i="1"/>
  <c r="Z64" i="1"/>
  <c r="Y64" i="1"/>
  <c r="U64" i="1"/>
  <c r="Q64" i="1"/>
  <c r="BF64" i="1" s="1"/>
  <c r="P64" i="1"/>
  <c r="O64" i="1"/>
  <c r="N64" i="1"/>
  <c r="M64" i="1"/>
  <c r="L64" i="1"/>
  <c r="H64" i="1"/>
  <c r="G64" i="1"/>
  <c r="F64" i="1"/>
  <c r="D64" i="1"/>
  <c r="BK63" i="1"/>
  <c r="BH63" i="1"/>
  <c r="BG63" i="1"/>
  <c r="AU63" i="1"/>
  <c r="AT63" i="1"/>
  <c r="AM63" i="1"/>
  <c r="AL63" i="1"/>
  <c r="AJ63" i="1"/>
  <c r="AI63" i="1"/>
  <c r="AH63" i="1"/>
  <c r="AE63" i="1"/>
  <c r="AD63" i="1"/>
  <c r="AC63" i="1"/>
  <c r="AA63" i="1"/>
  <c r="Z63" i="1"/>
  <c r="Y63" i="1"/>
  <c r="U63" i="1"/>
  <c r="Q63" i="1"/>
  <c r="BF63" i="1" s="1"/>
  <c r="P63" i="1"/>
  <c r="O63" i="1"/>
  <c r="N63" i="1"/>
  <c r="M63" i="1"/>
  <c r="L63" i="1"/>
  <c r="H63" i="1"/>
  <c r="G63" i="1"/>
  <c r="F63" i="1"/>
  <c r="D63" i="1"/>
  <c r="BK62" i="1"/>
  <c r="BH62" i="1"/>
  <c r="BG62" i="1"/>
  <c r="AU62" i="1"/>
  <c r="AT62" i="1"/>
  <c r="AM62" i="1"/>
  <c r="AL62" i="1"/>
  <c r="AJ62" i="1"/>
  <c r="AI62" i="1"/>
  <c r="AH62" i="1"/>
  <c r="AE62" i="1"/>
  <c r="AD62" i="1"/>
  <c r="AC62" i="1"/>
  <c r="AA62" i="1"/>
  <c r="Z62" i="1"/>
  <c r="Y62" i="1"/>
  <c r="U62" i="1"/>
  <c r="Q62" i="1"/>
  <c r="BF62" i="1" s="1"/>
  <c r="P62" i="1"/>
  <c r="O62" i="1"/>
  <c r="N62" i="1"/>
  <c r="M62" i="1"/>
  <c r="L62" i="1"/>
  <c r="H62" i="1"/>
  <c r="G62" i="1"/>
  <c r="F62" i="1"/>
  <c r="D62" i="1"/>
  <c r="BK61" i="1"/>
  <c r="BH61" i="1"/>
  <c r="BG61" i="1"/>
  <c r="AU61" i="1"/>
  <c r="AT61" i="1"/>
  <c r="AM61" i="1"/>
  <c r="AL61" i="1"/>
  <c r="AJ61" i="1"/>
  <c r="AI61" i="1"/>
  <c r="AH61" i="1"/>
  <c r="AE61" i="1"/>
  <c r="AD61" i="1"/>
  <c r="AC61" i="1"/>
  <c r="AA61" i="1"/>
  <c r="Z61" i="1"/>
  <c r="Y61" i="1"/>
  <c r="U61" i="1"/>
  <c r="Q61" i="1"/>
  <c r="BF61" i="1" s="1"/>
  <c r="P61" i="1"/>
  <c r="O61" i="1"/>
  <c r="N61" i="1"/>
  <c r="M61" i="1"/>
  <c r="L61" i="1"/>
  <c r="H61" i="1"/>
  <c r="G61" i="1"/>
  <c r="F61" i="1"/>
  <c r="D61" i="1"/>
  <c r="BK60" i="1"/>
  <c r="BH60" i="1"/>
  <c r="BG60" i="1"/>
  <c r="AU60" i="1"/>
  <c r="AT60" i="1"/>
  <c r="AM60" i="1"/>
  <c r="AL60" i="1"/>
  <c r="AJ60" i="1"/>
  <c r="AI60" i="1"/>
  <c r="AH60" i="1"/>
  <c r="AE60" i="1"/>
  <c r="AD60" i="1"/>
  <c r="AC60" i="1"/>
  <c r="AA60" i="1"/>
  <c r="Z60" i="1"/>
  <c r="Y60" i="1"/>
  <c r="U60" i="1"/>
  <c r="Q60" i="1"/>
  <c r="BF60" i="1" s="1"/>
  <c r="P60" i="1"/>
  <c r="O60" i="1"/>
  <c r="N60" i="1"/>
  <c r="M60" i="1"/>
  <c r="L60" i="1"/>
  <c r="H60" i="1"/>
  <c r="G60" i="1"/>
  <c r="F60" i="1"/>
  <c r="D60" i="1"/>
  <c r="BK59" i="1"/>
  <c r="BH59" i="1"/>
  <c r="BG59" i="1"/>
  <c r="AU59" i="1"/>
  <c r="AT59" i="1"/>
  <c r="AM59" i="1"/>
  <c r="AL59" i="1"/>
  <c r="AJ59" i="1"/>
  <c r="AI59" i="1"/>
  <c r="AH59" i="1"/>
  <c r="AE59" i="1"/>
  <c r="AD59" i="1"/>
  <c r="AC59" i="1"/>
  <c r="AA59" i="1"/>
  <c r="Z59" i="1"/>
  <c r="Y59" i="1"/>
  <c r="U59" i="1"/>
  <c r="Q59" i="1"/>
  <c r="BF59" i="1" s="1"/>
  <c r="P59" i="1"/>
  <c r="O59" i="1"/>
  <c r="N59" i="1"/>
  <c r="M59" i="1"/>
  <c r="L59" i="1"/>
  <c r="H59" i="1"/>
  <c r="G59" i="1"/>
  <c r="F59" i="1"/>
  <c r="D59" i="1"/>
  <c r="BK58" i="1"/>
  <c r="BH58" i="1"/>
  <c r="BG58" i="1"/>
  <c r="AU58" i="1"/>
  <c r="AT58" i="1"/>
  <c r="AM58" i="1"/>
  <c r="AL58" i="1"/>
  <c r="AJ58" i="1"/>
  <c r="AI58" i="1"/>
  <c r="AH58" i="1"/>
  <c r="AE58" i="1"/>
  <c r="AD58" i="1"/>
  <c r="AC58" i="1"/>
  <c r="AA58" i="1"/>
  <c r="Z58" i="1"/>
  <c r="Y58" i="1"/>
  <c r="U58" i="1"/>
  <c r="Q58" i="1"/>
  <c r="BF58" i="1" s="1"/>
  <c r="P58" i="1"/>
  <c r="O58" i="1"/>
  <c r="N58" i="1"/>
  <c r="M58" i="1"/>
  <c r="L58" i="1"/>
  <c r="H58" i="1"/>
  <c r="G58" i="1"/>
  <c r="F58" i="1"/>
  <c r="D58" i="1"/>
  <c r="BK57" i="1"/>
  <c r="BH57" i="1"/>
  <c r="BG57" i="1"/>
  <c r="AU57" i="1"/>
  <c r="AT57" i="1"/>
  <c r="AM57" i="1"/>
  <c r="AL57" i="1"/>
  <c r="AJ57" i="1"/>
  <c r="AI57" i="1"/>
  <c r="AH57" i="1"/>
  <c r="AE57" i="1"/>
  <c r="AD57" i="1"/>
  <c r="AC57" i="1"/>
  <c r="AA57" i="1"/>
  <c r="Z57" i="1"/>
  <c r="Y57" i="1"/>
  <c r="U57" i="1"/>
  <c r="Q57" i="1"/>
  <c r="BF57" i="1" s="1"/>
  <c r="P57" i="1"/>
  <c r="O57" i="1"/>
  <c r="N57" i="1"/>
  <c r="M57" i="1"/>
  <c r="L57" i="1"/>
  <c r="H57" i="1"/>
  <c r="G57" i="1"/>
  <c r="F57" i="1"/>
  <c r="D57" i="1"/>
  <c r="BK56" i="1"/>
  <c r="BH56" i="1"/>
  <c r="BG56" i="1"/>
  <c r="AU56" i="1"/>
  <c r="AT56" i="1"/>
  <c r="AM56" i="1"/>
  <c r="AL56" i="1"/>
  <c r="AJ56" i="1"/>
  <c r="AI56" i="1"/>
  <c r="AH56" i="1"/>
  <c r="AE56" i="1"/>
  <c r="AD56" i="1"/>
  <c r="AC56" i="1"/>
  <c r="AA56" i="1"/>
  <c r="Z56" i="1"/>
  <c r="Y56" i="1"/>
  <c r="U56" i="1"/>
  <c r="Q56" i="1"/>
  <c r="BF56" i="1" s="1"/>
  <c r="P56" i="1"/>
  <c r="O56" i="1"/>
  <c r="N56" i="1"/>
  <c r="M56" i="1"/>
  <c r="L56" i="1"/>
  <c r="H56" i="1"/>
  <c r="G56" i="1"/>
  <c r="F56" i="1"/>
  <c r="D56" i="1"/>
  <c r="BK55" i="1"/>
  <c r="BH55" i="1"/>
  <c r="BG55" i="1"/>
  <c r="AU55" i="1"/>
  <c r="AT55" i="1"/>
  <c r="AM55" i="1"/>
  <c r="AL55" i="1"/>
  <c r="AJ55" i="1"/>
  <c r="AI55" i="1"/>
  <c r="AH55" i="1"/>
  <c r="AE55" i="1"/>
  <c r="AD55" i="1"/>
  <c r="AC55" i="1"/>
  <c r="AA55" i="1"/>
  <c r="Z55" i="1"/>
  <c r="Y55" i="1"/>
  <c r="U55" i="1"/>
  <c r="Q55" i="1"/>
  <c r="BF55" i="1" s="1"/>
  <c r="P55" i="1"/>
  <c r="O55" i="1"/>
  <c r="N55" i="1"/>
  <c r="M55" i="1"/>
  <c r="L55" i="1"/>
  <c r="H55" i="1"/>
  <c r="G55" i="1"/>
  <c r="F55" i="1"/>
  <c r="D55" i="1"/>
  <c r="BK54" i="1"/>
  <c r="BH54" i="1"/>
  <c r="BG54" i="1"/>
  <c r="AU54" i="1"/>
  <c r="AT54" i="1"/>
  <c r="AM54" i="1"/>
  <c r="AL54" i="1"/>
  <c r="AJ54" i="1"/>
  <c r="AI54" i="1"/>
  <c r="AH54" i="1"/>
  <c r="AE54" i="1"/>
  <c r="AD54" i="1"/>
  <c r="AC54" i="1"/>
  <c r="AA54" i="1"/>
  <c r="Z54" i="1"/>
  <c r="Y54" i="1"/>
  <c r="U54" i="1"/>
  <c r="Q54" i="1"/>
  <c r="BF54" i="1" s="1"/>
  <c r="P54" i="1"/>
  <c r="O54" i="1"/>
  <c r="N54" i="1"/>
  <c r="M54" i="1"/>
  <c r="L54" i="1"/>
  <c r="H54" i="1"/>
  <c r="G54" i="1"/>
  <c r="F54" i="1"/>
  <c r="D54" i="1"/>
  <c r="BK53" i="1"/>
  <c r="BH53" i="1"/>
  <c r="BG53" i="1"/>
  <c r="AU53" i="1"/>
  <c r="AT53" i="1"/>
  <c r="AM53" i="1"/>
  <c r="AL53" i="1"/>
  <c r="AJ53" i="1"/>
  <c r="AI53" i="1"/>
  <c r="AH53" i="1"/>
  <c r="AE53" i="1"/>
  <c r="AD53" i="1"/>
  <c r="AC53" i="1"/>
  <c r="AA53" i="1"/>
  <c r="Z53" i="1"/>
  <c r="Y53" i="1"/>
  <c r="U53" i="1"/>
  <c r="Q53" i="1"/>
  <c r="BF53" i="1" s="1"/>
  <c r="P53" i="1"/>
  <c r="O53" i="1"/>
  <c r="N53" i="1"/>
  <c r="M53" i="1"/>
  <c r="L53" i="1"/>
  <c r="H53" i="1"/>
  <c r="G53" i="1"/>
  <c r="F53" i="1"/>
  <c r="D53" i="1"/>
  <c r="BK52" i="1"/>
  <c r="BH52" i="1"/>
  <c r="BG52" i="1"/>
  <c r="AU52" i="1"/>
  <c r="AT52" i="1"/>
  <c r="AM52" i="1"/>
  <c r="AL52" i="1"/>
  <c r="AJ52" i="1"/>
  <c r="AI52" i="1"/>
  <c r="AH52" i="1"/>
  <c r="AE52" i="1"/>
  <c r="AD52" i="1"/>
  <c r="AC52" i="1"/>
  <c r="AA52" i="1"/>
  <c r="Z52" i="1"/>
  <c r="Y52" i="1"/>
  <c r="U52" i="1"/>
  <c r="Q52" i="1"/>
  <c r="BF52" i="1" s="1"/>
  <c r="P52" i="1"/>
  <c r="O52" i="1"/>
  <c r="N52" i="1"/>
  <c r="M52" i="1"/>
  <c r="L52" i="1"/>
  <c r="H52" i="1"/>
  <c r="G52" i="1"/>
  <c r="F52" i="1"/>
  <c r="D52" i="1"/>
  <c r="BK51" i="1"/>
  <c r="BH51" i="1"/>
  <c r="BG51" i="1"/>
  <c r="AU51" i="1"/>
  <c r="AT51" i="1"/>
  <c r="AM51" i="1"/>
  <c r="AL51" i="1"/>
  <c r="AJ51" i="1"/>
  <c r="AI51" i="1"/>
  <c r="AH51" i="1"/>
  <c r="AE51" i="1"/>
  <c r="AD51" i="1"/>
  <c r="AC51" i="1"/>
  <c r="AA51" i="1"/>
  <c r="Z51" i="1"/>
  <c r="Y51" i="1"/>
  <c r="U51" i="1"/>
  <c r="Q51" i="1"/>
  <c r="BF51" i="1" s="1"/>
  <c r="P51" i="1"/>
  <c r="O51" i="1"/>
  <c r="N51" i="1"/>
  <c r="M51" i="1"/>
  <c r="L51" i="1"/>
  <c r="H51" i="1"/>
  <c r="G51" i="1"/>
  <c r="F51" i="1"/>
  <c r="D51" i="1"/>
  <c r="BK50" i="1"/>
  <c r="BH50" i="1"/>
  <c r="BG50" i="1"/>
  <c r="AU50" i="1"/>
  <c r="AT50" i="1"/>
  <c r="AM50" i="1"/>
  <c r="AL50" i="1"/>
  <c r="AJ50" i="1"/>
  <c r="AI50" i="1"/>
  <c r="AH50" i="1"/>
  <c r="AE50" i="1"/>
  <c r="AD50" i="1"/>
  <c r="AC50" i="1"/>
  <c r="AA50" i="1"/>
  <c r="Z50" i="1"/>
  <c r="Y50" i="1"/>
  <c r="U50" i="1"/>
  <c r="Q50" i="1"/>
  <c r="BF50" i="1" s="1"/>
  <c r="P50" i="1"/>
  <c r="O50" i="1"/>
  <c r="N50" i="1"/>
  <c r="M50" i="1"/>
  <c r="L50" i="1"/>
  <c r="H50" i="1"/>
  <c r="G50" i="1"/>
  <c r="F50" i="1"/>
  <c r="D50" i="1"/>
  <c r="BK49" i="1"/>
  <c r="BH49" i="1"/>
  <c r="BG49" i="1"/>
  <c r="AU49" i="1"/>
  <c r="AT49" i="1"/>
  <c r="AM49" i="1"/>
  <c r="AL49" i="1"/>
  <c r="AJ49" i="1"/>
  <c r="AI49" i="1"/>
  <c r="AH49" i="1"/>
  <c r="AE49" i="1"/>
  <c r="AD49" i="1"/>
  <c r="AC49" i="1"/>
  <c r="AA49" i="1"/>
  <c r="Z49" i="1"/>
  <c r="Y49" i="1"/>
  <c r="U49" i="1"/>
  <c r="Q49" i="1"/>
  <c r="BF49" i="1" s="1"/>
  <c r="P49" i="1"/>
  <c r="O49" i="1"/>
  <c r="N49" i="1"/>
  <c r="M49" i="1"/>
  <c r="L49" i="1"/>
  <c r="H49" i="1"/>
  <c r="G49" i="1"/>
  <c r="F49" i="1"/>
  <c r="D49" i="1"/>
  <c r="BK48" i="1"/>
  <c r="BH48" i="1"/>
  <c r="BG48" i="1"/>
  <c r="AU48" i="1"/>
  <c r="AT48" i="1"/>
  <c r="AM48" i="1"/>
  <c r="AL48" i="1"/>
  <c r="AJ48" i="1"/>
  <c r="AI48" i="1"/>
  <c r="AH48" i="1"/>
  <c r="AE48" i="1"/>
  <c r="AD48" i="1"/>
  <c r="AC48" i="1"/>
  <c r="AA48" i="1"/>
  <c r="Z48" i="1"/>
  <c r="Y48" i="1"/>
  <c r="U48" i="1"/>
  <c r="Q48" i="1"/>
  <c r="BF48" i="1" s="1"/>
  <c r="P48" i="1"/>
  <c r="O48" i="1"/>
  <c r="N48" i="1"/>
  <c r="M48" i="1"/>
  <c r="L48" i="1"/>
  <c r="H48" i="1"/>
  <c r="G48" i="1"/>
  <c r="F48" i="1"/>
  <c r="D48" i="1"/>
  <c r="BK47" i="1"/>
  <c r="BH47" i="1"/>
  <c r="BG47" i="1"/>
  <c r="AU47" i="1"/>
  <c r="AT47" i="1"/>
  <c r="AM47" i="1"/>
  <c r="AL47" i="1"/>
  <c r="AJ47" i="1"/>
  <c r="AI47" i="1"/>
  <c r="AH47" i="1"/>
  <c r="AE47" i="1"/>
  <c r="AD47" i="1"/>
  <c r="AC47" i="1"/>
  <c r="AA47" i="1"/>
  <c r="Z47" i="1"/>
  <c r="Y47" i="1"/>
  <c r="U47" i="1"/>
  <c r="Q47" i="1"/>
  <c r="BF47" i="1" s="1"/>
  <c r="P47" i="1"/>
  <c r="O47" i="1"/>
  <c r="N47" i="1"/>
  <c r="M47" i="1"/>
  <c r="L47" i="1"/>
  <c r="H47" i="1"/>
  <c r="G47" i="1"/>
  <c r="F47" i="1"/>
  <c r="D47" i="1"/>
  <c r="BK46" i="1"/>
  <c r="BH46" i="1"/>
  <c r="BG46" i="1"/>
  <c r="AU46" i="1"/>
  <c r="AT46" i="1"/>
  <c r="AM46" i="1"/>
  <c r="AL46" i="1"/>
  <c r="AJ46" i="1"/>
  <c r="AI46" i="1"/>
  <c r="AH46" i="1"/>
  <c r="AE46" i="1"/>
  <c r="AD46" i="1"/>
  <c r="AC46" i="1"/>
  <c r="AA46" i="1"/>
  <c r="Z46" i="1"/>
  <c r="Y46" i="1"/>
  <c r="U46" i="1"/>
  <c r="Q46" i="1"/>
  <c r="BF46" i="1" s="1"/>
  <c r="P46" i="1"/>
  <c r="O46" i="1"/>
  <c r="N46" i="1"/>
  <c r="M46" i="1"/>
  <c r="L46" i="1"/>
  <c r="H46" i="1"/>
  <c r="G46" i="1"/>
  <c r="F46" i="1"/>
  <c r="D46" i="1"/>
  <c r="BK45" i="1"/>
  <c r="BH45" i="1"/>
  <c r="BG45" i="1"/>
  <c r="AU45" i="1"/>
  <c r="AT45" i="1"/>
  <c r="AM45" i="1"/>
  <c r="AL45" i="1"/>
  <c r="AJ45" i="1"/>
  <c r="AI45" i="1"/>
  <c r="AH45" i="1"/>
  <c r="AE45" i="1"/>
  <c r="AD45" i="1"/>
  <c r="AC45" i="1"/>
  <c r="AA45" i="1"/>
  <c r="Z45" i="1"/>
  <c r="Y45" i="1"/>
  <c r="U45" i="1"/>
  <c r="Q45" i="1"/>
  <c r="BF45" i="1" s="1"/>
  <c r="P45" i="1"/>
  <c r="O45" i="1"/>
  <c r="N45" i="1"/>
  <c r="M45" i="1"/>
  <c r="L45" i="1"/>
  <c r="H45" i="1"/>
  <c r="G45" i="1"/>
  <c r="F45" i="1"/>
  <c r="D45" i="1"/>
  <c r="BK44" i="1"/>
  <c r="BH44" i="1"/>
  <c r="BG44" i="1"/>
  <c r="AU44" i="1"/>
  <c r="AT44" i="1"/>
  <c r="AM44" i="1"/>
  <c r="AL44" i="1"/>
  <c r="AJ44" i="1"/>
  <c r="AI44" i="1"/>
  <c r="AH44" i="1"/>
  <c r="AE44" i="1"/>
  <c r="AD44" i="1"/>
  <c r="AC44" i="1"/>
  <c r="AA44" i="1"/>
  <c r="Z44" i="1"/>
  <c r="Y44" i="1"/>
  <c r="U44" i="1"/>
  <c r="Q44" i="1"/>
  <c r="BF44" i="1" s="1"/>
  <c r="P44" i="1"/>
  <c r="O44" i="1"/>
  <c r="N44" i="1"/>
  <c r="M44" i="1"/>
  <c r="L44" i="1"/>
  <c r="H44" i="1"/>
  <c r="G44" i="1"/>
  <c r="F44" i="1"/>
  <c r="D44" i="1"/>
  <c r="BK43" i="1"/>
  <c r="BH43" i="1"/>
  <c r="BG43" i="1"/>
  <c r="AU43" i="1"/>
  <c r="AT43" i="1"/>
  <c r="AM43" i="1"/>
  <c r="AL43" i="1"/>
  <c r="AJ43" i="1"/>
  <c r="AI43" i="1"/>
  <c r="AH43" i="1"/>
  <c r="AE43" i="1"/>
  <c r="AD43" i="1"/>
  <c r="AC43" i="1"/>
  <c r="AA43" i="1"/>
  <c r="Z43" i="1"/>
  <c r="Y43" i="1"/>
  <c r="U43" i="1"/>
  <c r="Q43" i="1"/>
  <c r="BF43" i="1" s="1"/>
  <c r="P43" i="1"/>
  <c r="O43" i="1"/>
  <c r="N43" i="1"/>
  <c r="M43" i="1"/>
  <c r="L43" i="1"/>
  <c r="H43" i="1"/>
  <c r="G43" i="1"/>
  <c r="F43" i="1"/>
  <c r="D43" i="1"/>
  <c r="BK42" i="1"/>
  <c r="BH42" i="1"/>
  <c r="BG42" i="1"/>
  <c r="AU42" i="1"/>
  <c r="AT42" i="1"/>
  <c r="AM42" i="1"/>
  <c r="AL42" i="1"/>
  <c r="AJ42" i="1"/>
  <c r="AI42" i="1"/>
  <c r="AH42" i="1"/>
  <c r="AE42" i="1"/>
  <c r="AD42" i="1"/>
  <c r="AC42" i="1"/>
  <c r="AA42" i="1"/>
  <c r="Z42" i="1"/>
  <c r="Y42" i="1"/>
  <c r="U42" i="1"/>
  <c r="Q42" i="1"/>
  <c r="BF42" i="1" s="1"/>
  <c r="P42" i="1"/>
  <c r="O42" i="1"/>
  <c r="N42" i="1"/>
  <c r="M42" i="1"/>
  <c r="L42" i="1"/>
  <c r="H42" i="1"/>
  <c r="G42" i="1"/>
  <c r="F42" i="1"/>
  <c r="D42" i="1"/>
  <c r="BK41" i="1"/>
  <c r="BH41" i="1"/>
  <c r="BG41" i="1"/>
  <c r="AU41" i="1"/>
  <c r="AT41" i="1"/>
  <c r="AM41" i="1"/>
  <c r="AL41" i="1"/>
  <c r="AJ41" i="1"/>
  <c r="AI41" i="1"/>
  <c r="AH41" i="1"/>
  <c r="AE41" i="1"/>
  <c r="AD41" i="1"/>
  <c r="AC41" i="1"/>
  <c r="AA41" i="1"/>
  <c r="Z41" i="1"/>
  <c r="Y41" i="1"/>
  <c r="U41" i="1"/>
  <c r="Q41" i="1"/>
  <c r="BF41" i="1" s="1"/>
  <c r="P41" i="1"/>
  <c r="O41" i="1"/>
  <c r="N41" i="1"/>
  <c r="M41" i="1"/>
  <c r="L41" i="1"/>
  <c r="H41" i="1"/>
  <c r="G41" i="1"/>
  <c r="F41" i="1"/>
  <c r="D41" i="1"/>
  <c r="BK40" i="1"/>
  <c r="BH40" i="1"/>
  <c r="BG40" i="1"/>
  <c r="AU40" i="1"/>
  <c r="AT40" i="1"/>
  <c r="AM40" i="1"/>
  <c r="AL40" i="1"/>
  <c r="AJ40" i="1"/>
  <c r="AI40" i="1"/>
  <c r="AH40" i="1"/>
  <c r="AE40" i="1"/>
  <c r="AD40" i="1"/>
  <c r="AC40" i="1"/>
  <c r="AA40" i="1"/>
  <c r="Z40" i="1"/>
  <c r="Y40" i="1"/>
  <c r="U40" i="1"/>
  <c r="Q40" i="1"/>
  <c r="BF40" i="1" s="1"/>
  <c r="P40" i="1"/>
  <c r="O40" i="1"/>
  <c r="N40" i="1"/>
  <c r="M40" i="1"/>
  <c r="L40" i="1"/>
  <c r="H40" i="1"/>
  <c r="G40" i="1"/>
  <c r="F40" i="1"/>
  <c r="D40" i="1"/>
  <c r="BK39" i="1"/>
  <c r="BH39" i="1"/>
  <c r="BG39" i="1"/>
  <c r="AU39" i="1"/>
  <c r="AT39" i="1"/>
  <c r="AM39" i="1"/>
  <c r="AL39" i="1"/>
  <c r="AJ39" i="1"/>
  <c r="AI39" i="1"/>
  <c r="AH39" i="1"/>
  <c r="AE39" i="1"/>
  <c r="AD39" i="1"/>
  <c r="AC39" i="1"/>
  <c r="AA39" i="1"/>
  <c r="Z39" i="1"/>
  <c r="Y39" i="1"/>
  <c r="U39" i="1"/>
  <c r="Q39" i="1"/>
  <c r="BF39" i="1" s="1"/>
  <c r="P39" i="1"/>
  <c r="O39" i="1"/>
  <c r="N39" i="1"/>
  <c r="M39" i="1"/>
  <c r="L39" i="1"/>
  <c r="H39" i="1"/>
  <c r="G39" i="1"/>
  <c r="F39" i="1"/>
  <c r="D39" i="1"/>
  <c r="BK38" i="1"/>
  <c r="BH38" i="1"/>
  <c r="BG38" i="1"/>
  <c r="AU38" i="1"/>
  <c r="AT38" i="1"/>
  <c r="AM38" i="1"/>
  <c r="AL38" i="1"/>
  <c r="AJ38" i="1"/>
  <c r="AI38" i="1"/>
  <c r="AH38" i="1"/>
  <c r="AE38" i="1"/>
  <c r="AD38" i="1"/>
  <c r="AC38" i="1"/>
  <c r="AA38" i="1"/>
  <c r="Z38" i="1"/>
  <c r="Y38" i="1"/>
  <c r="U38" i="1"/>
  <c r="Q38" i="1"/>
  <c r="BF38" i="1" s="1"/>
  <c r="P38" i="1"/>
  <c r="O38" i="1"/>
  <c r="N38" i="1"/>
  <c r="M38" i="1"/>
  <c r="L38" i="1"/>
  <c r="H38" i="1"/>
  <c r="G38" i="1"/>
  <c r="F38" i="1"/>
  <c r="D38" i="1"/>
  <c r="BK37" i="1"/>
  <c r="BH37" i="1"/>
  <c r="BG37" i="1"/>
  <c r="AU37" i="1"/>
  <c r="AT37" i="1"/>
  <c r="AM37" i="1"/>
  <c r="AL37" i="1"/>
  <c r="AJ37" i="1"/>
  <c r="AI37" i="1"/>
  <c r="AH37" i="1"/>
  <c r="AE37" i="1"/>
  <c r="AD37" i="1"/>
  <c r="AC37" i="1"/>
  <c r="AA37" i="1"/>
  <c r="Z37" i="1"/>
  <c r="Y37" i="1"/>
  <c r="U37" i="1"/>
  <c r="Q37" i="1"/>
  <c r="BF37" i="1" s="1"/>
  <c r="P37" i="1"/>
  <c r="O37" i="1"/>
  <c r="N37" i="1"/>
  <c r="M37" i="1"/>
  <c r="L37" i="1"/>
  <c r="H37" i="1"/>
  <c r="G37" i="1"/>
  <c r="F37" i="1"/>
  <c r="D37" i="1"/>
  <c r="BK36" i="1"/>
  <c r="BH36" i="1"/>
  <c r="BG36" i="1"/>
  <c r="AU36" i="1"/>
  <c r="AT36" i="1"/>
  <c r="AM36" i="1"/>
  <c r="AL36" i="1"/>
  <c r="AJ36" i="1"/>
  <c r="AI36" i="1"/>
  <c r="AH36" i="1"/>
  <c r="AE36" i="1"/>
  <c r="AD36" i="1"/>
  <c r="AC36" i="1"/>
  <c r="AA36" i="1"/>
  <c r="Z36" i="1"/>
  <c r="Y36" i="1"/>
  <c r="U36" i="1"/>
  <c r="Q36" i="1"/>
  <c r="BF36" i="1" s="1"/>
  <c r="P36" i="1"/>
  <c r="O36" i="1"/>
  <c r="N36" i="1"/>
  <c r="M36" i="1"/>
  <c r="L36" i="1"/>
  <c r="H36" i="1"/>
  <c r="G36" i="1"/>
  <c r="F36" i="1"/>
  <c r="D36" i="1"/>
  <c r="BK35" i="1"/>
  <c r="BH35" i="1"/>
  <c r="BG35" i="1"/>
  <c r="AU35" i="1"/>
  <c r="AT35" i="1"/>
  <c r="AM35" i="1"/>
  <c r="AL35" i="1"/>
  <c r="AJ35" i="1"/>
  <c r="AI35" i="1"/>
  <c r="AH35" i="1"/>
  <c r="AE35" i="1"/>
  <c r="AD35" i="1"/>
  <c r="AC35" i="1"/>
  <c r="AA35" i="1"/>
  <c r="Z35" i="1"/>
  <c r="Y35" i="1"/>
  <c r="U35" i="1"/>
  <c r="Q35" i="1"/>
  <c r="BF35" i="1" s="1"/>
  <c r="P35" i="1"/>
  <c r="O35" i="1"/>
  <c r="N35" i="1"/>
  <c r="M35" i="1"/>
  <c r="L35" i="1"/>
  <c r="H35" i="1"/>
  <c r="G35" i="1"/>
  <c r="F35" i="1"/>
  <c r="D35" i="1"/>
  <c r="BK34" i="1"/>
  <c r="BH34" i="1"/>
  <c r="BG34" i="1"/>
  <c r="AU34" i="1"/>
  <c r="AT34" i="1"/>
  <c r="AM34" i="1"/>
  <c r="AL34" i="1"/>
  <c r="AJ34" i="1"/>
  <c r="AI34" i="1"/>
  <c r="AH34" i="1"/>
  <c r="AE34" i="1"/>
  <c r="AD34" i="1"/>
  <c r="AC34" i="1"/>
  <c r="AA34" i="1"/>
  <c r="Z34" i="1"/>
  <c r="Y34" i="1"/>
  <c r="U34" i="1"/>
  <c r="Q34" i="1"/>
  <c r="BF34" i="1" s="1"/>
  <c r="P34" i="1"/>
  <c r="O34" i="1"/>
  <c r="N34" i="1"/>
  <c r="M34" i="1"/>
  <c r="L34" i="1"/>
  <c r="H34" i="1"/>
  <c r="G34" i="1"/>
  <c r="F34" i="1"/>
  <c r="D34" i="1"/>
  <c r="BK33" i="1"/>
  <c r="BH33" i="1"/>
  <c r="BG33" i="1"/>
  <c r="AU33" i="1"/>
  <c r="AT33" i="1"/>
  <c r="AM33" i="1"/>
  <c r="AL33" i="1"/>
  <c r="AJ33" i="1"/>
  <c r="AI33" i="1"/>
  <c r="AH33" i="1"/>
  <c r="AE33" i="1"/>
  <c r="AD33" i="1"/>
  <c r="AC33" i="1"/>
  <c r="AA33" i="1"/>
  <c r="Z33" i="1"/>
  <c r="Y33" i="1"/>
  <c r="U33" i="1"/>
  <c r="Q33" i="1"/>
  <c r="BF33" i="1" s="1"/>
  <c r="P33" i="1"/>
  <c r="O33" i="1"/>
  <c r="N33" i="1"/>
  <c r="M33" i="1"/>
  <c r="L33" i="1"/>
  <c r="H33" i="1"/>
  <c r="G33" i="1"/>
  <c r="F33" i="1"/>
  <c r="D33" i="1"/>
  <c r="BK32" i="1"/>
  <c r="BH32" i="1"/>
  <c r="BG32" i="1"/>
  <c r="AU32" i="1"/>
  <c r="AT32" i="1"/>
  <c r="AM32" i="1"/>
  <c r="AL32" i="1"/>
  <c r="AJ32" i="1"/>
  <c r="AI32" i="1"/>
  <c r="AH32" i="1"/>
  <c r="AE32" i="1"/>
  <c r="AD32" i="1"/>
  <c r="AC32" i="1"/>
  <c r="AA32" i="1"/>
  <c r="Z32" i="1"/>
  <c r="Y32" i="1"/>
  <c r="U32" i="1"/>
  <c r="Q32" i="1"/>
  <c r="BF32" i="1" s="1"/>
  <c r="P32" i="1"/>
  <c r="O32" i="1"/>
  <c r="N32" i="1"/>
  <c r="M32" i="1"/>
  <c r="L32" i="1"/>
  <c r="H32" i="1"/>
  <c r="G32" i="1"/>
  <c r="F32" i="1"/>
  <c r="D32" i="1"/>
  <c r="BK31" i="1"/>
  <c r="BH31" i="1"/>
  <c r="BG31" i="1"/>
  <c r="AU31" i="1"/>
  <c r="AT31" i="1"/>
  <c r="AM31" i="1"/>
  <c r="AL31" i="1"/>
  <c r="AJ31" i="1"/>
  <c r="AI31" i="1"/>
  <c r="AH31" i="1"/>
  <c r="AE31" i="1"/>
  <c r="AD31" i="1"/>
  <c r="AC31" i="1"/>
  <c r="AA31" i="1"/>
  <c r="Z31" i="1"/>
  <c r="Y31" i="1"/>
  <c r="U31" i="1"/>
  <c r="Q31" i="1"/>
  <c r="BF31" i="1" s="1"/>
  <c r="P31" i="1"/>
  <c r="O31" i="1"/>
  <c r="N31" i="1"/>
  <c r="M31" i="1"/>
  <c r="L31" i="1"/>
  <c r="H31" i="1"/>
  <c r="G31" i="1"/>
  <c r="F31" i="1"/>
  <c r="D31" i="1"/>
  <c r="BK30" i="1"/>
  <c r="BH30" i="1"/>
  <c r="BG30" i="1"/>
  <c r="AU30" i="1"/>
  <c r="AT30" i="1"/>
  <c r="AM30" i="1"/>
  <c r="AL30" i="1"/>
  <c r="AJ30" i="1"/>
  <c r="AI30" i="1"/>
  <c r="AH30" i="1"/>
  <c r="AE30" i="1"/>
  <c r="AD30" i="1"/>
  <c r="AC30" i="1"/>
  <c r="AA30" i="1"/>
  <c r="Z30" i="1"/>
  <c r="Y30" i="1"/>
  <c r="U30" i="1"/>
  <c r="Q30" i="1"/>
  <c r="BF30" i="1" s="1"/>
  <c r="P30" i="1"/>
  <c r="O30" i="1"/>
  <c r="N30" i="1"/>
  <c r="M30" i="1"/>
  <c r="L30" i="1"/>
  <c r="H30" i="1"/>
  <c r="G30" i="1"/>
  <c r="F30" i="1"/>
  <c r="D30" i="1"/>
  <c r="BK29" i="1"/>
  <c r="BH29" i="1"/>
  <c r="BG29" i="1"/>
  <c r="AU29" i="1"/>
  <c r="AT29" i="1"/>
  <c r="AM29" i="1"/>
  <c r="AL29" i="1"/>
  <c r="AJ29" i="1"/>
  <c r="AI29" i="1"/>
  <c r="AH29" i="1"/>
  <c r="AE29" i="1"/>
  <c r="AD29" i="1"/>
  <c r="AC29" i="1"/>
  <c r="AA29" i="1"/>
  <c r="Z29" i="1"/>
  <c r="Y29" i="1"/>
  <c r="U29" i="1"/>
  <c r="Q29" i="1"/>
  <c r="BF29" i="1" s="1"/>
  <c r="P29" i="1"/>
  <c r="O29" i="1"/>
  <c r="N29" i="1"/>
  <c r="M29" i="1"/>
  <c r="L29" i="1"/>
  <c r="H29" i="1"/>
  <c r="G29" i="1"/>
  <c r="F29" i="1"/>
  <c r="D29" i="1"/>
  <c r="BK28" i="1"/>
  <c r="BH28" i="1"/>
  <c r="BG28" i="1"/>
  <c r="AU28" i="1"/>
  <c r="AT28" i="1"/>
  <c r="AM28" i="1"/>
  <c r="AL28" i="1"/>
  <c r="AJ28" i="1"/>
  <c r="AI28" i="1"/>
  <c r="AH28" i="1"/>
  <c r="AE28" i="1"/>
  <c r="AD28" i="1"/>
  <c r="AC28" i="1"/>
  <c r="AA28" i="1"/>
  <c r="Z28" i="1"/>
  <c r="Y28" i="1"/>
  <c r="U28" i="1"/>
  <c r="Q28" i="1"/>
  <c r="BF28" i="1" s="1"/>
  <c r="P28" i="1"/>
  <c r="O28" i="1"/>
  <c r="N28" i="1"/>
  <c r="M28" i="1"/>
  <c r="L28" i="1"/>
  <c r="H28" i="1"/>
  <c r="G28" i="1"/>
  <c r="F28" i="1"/>
  <c r="D28" i="1"/>
  <c r="BK27" i="1"/>
  <c r="BH27" i="1"/>
  <c r="BG27" i="1"/>
  <c r="AU27" i="1"/>
  <c r="AT27" i="1"/>
  <c r="AM27" i="1"/>
  <c r="AL27" i="1"/>
  <c r="AJ27" i="1"/>
  <c r="AI27" i="1"/>
  <c r="AH27" i="1"/>
  <c r="AE27" i="1"/>
  <c r="AD27" i="1"/>
  <c r="AC27" i="1"/>
  <c r="AA27" i="1"/>
  <c r="Z27" i="1"/>
  <c r="Y27" i="1"/>
  <c r="U27" i="1"/>
  <c r="Q27" i="1"/>
  <c r="BF27" i="1" s="1"/>
  <c r="P27" i="1"/>
  <c r="O27" i="1"/>
  <c r="N27" i="1"/>
  <c r="M27" i="1"/>
  <c r="L27" i="1"/>
  <c r="H27" i="1"/>
  <c r="G27" i="1"/>
  <c r="F27" i="1"/>
  <c r="D27" i="1"/>
  <c r="BK26" i="1"/>
  <c r="BH26" i="1"/>
  <c r="BG26" i="1"/>
  <c r="AU26" i="1"/>
  <c r="AT26" i="1"/>
  <c r="AM26" i="1"/>
  <c r="AL26" i="1"/>
  <c r="AJ26" i="1"/>
  <c r="AI26" i="1"/>
  <c r="AH26" i="1"/>
  <c r="AE26" i="1"/>
  <c r="AD26" i="1"/>
  <c r="AC26" i="1"/>
  <c r="AA26" i="1"/>
  <c r="Z26" i="1"/>
  <c r="Y26" i="1"/>
  <c r="U26" i="1"/>
  <c r="Q26" i="1"/>
  <c r="BF26" i="1" s="1"/>
  <c r="P26" i="1"/>
  <c r="O26" i="1"/>
  <c r="N26" i="1"/>
  <c r="M26" i="1"/>
  <c r="L26" i="1"/>
  <c r="H26" i="1"/>
  <c r="G26" i="1"/>
  <c r="F26" i="1"/>
  <c r="D26" i="1"/>
  <c r="BK25" i="1"/>
  <c r="BH25" i="1"/>
  <c r="BG25" i="1"/>
  <c r="AU25" i="1"/>
  <c r="AT25" i="1"/>
  <c r="AM25" i="1"/>
  <c r="AL25" i="1"/>
  <c r="AJ25" i="1"/>
  <c r="AI25" i="1"/>
  <c r="AH25" i="1"/>
  <c r="AE25" i="1"/>
  <c r="AD25" i="1"/>
  <c r="AC25" i="1"/>
  <c r="AA25" i="1"/>
  <c r="Z25" i="1"/>
  <c r="U25" i="1"/>
  <c r="Q25" i="1"/>
  <c r="BF25" i="1" s="1"/>
  <c r="P25" i="1"/>
  <c r="O25" i="1"/>
  <c r="N25" i="1"/>
  <c r="M25" i="1"/>
  <c r="L25" i="1"/>
  <c r="H25" i="1"/>
  <c r="G25" i="1"/>
  <c r="F25" i="1"/>
  <c r="Y25" i="1" s="1"/>
  <c r="D25" i="1"/>
  <c r="BK24" i="1"/>
  <c r="BH24" i="1"/>
  <c r="BG24" i="1"/>
  <c r="AU24" i="1"/>
  <c r="AT24" i="1"/>
  <c r="AM24" i="1"/>
  <c r="AL24" i="1"/>
  <c r="AJ24" i="1"/>
  <c r="AI24" i="1"/>
  <c r="AH24" i="1"/>
  <c r="AE24" i="1"/>
  <c r="AD24" i="1"/>
  <c r="AC24" i="1"/>
  <c r="AA24" i="1"/>
  <c r="Z24" i="1"/>
  <c r="Y24" i="1"/>
  <c r="U24" i="1"/>
  <c r="Q24" i="1"/>
  <c r="BF24" i="1" s="1"/>
  <c r="P24" i="1"/>
  <c r="O24" i="1"/>
  <c r="N24" i="1"/>
  <c r="M24" i="1"/>
  <c r="L24" i="1"/>
  <c r="H24" i="1"/>
  <c r="G24" i="1"/>
  <c r="F24" i="1"/>
  <c r="D24" i="1"/>
  <c r="BK23" i="1"/>
  <c r="BH23" i="1"/>
  <c r="BG23" i="1"/>
  <c r="BF23" i="1"/>
  <c r="AU23" i="1"/>
  <c r="AT23" i="1"/>
  <c r="AM23" i="1"/>
  <c r="AL23" i="1"/>
  <c r="AJ23" i="1"/>
  <c r="AI23" i="1"/>
  <c r="AH23" i="1"/>
  <c r="AE23" i="1"/>
  <c r="AD23" i="1"/>
  <c r="AC23" i="1"/>
  <c r="AA23" i="1"/>
  <c r="Z23" i="1"/>
  <c r="Y23" i="1"/>
  <c r="U23" i="1"/>
  <c r="Q23" i="1"/>
  <c r="P23" i="1"/>
  <c r="O23" i="1"/>
  <c r="N23" i="1"/>
  <c r="M23" i="1"/>
  <c r="L23" i="1"/>
  <c r="H23" i="1"/>
  <c r="G23" i="1"/>
  <c r="F23" i="1"/>
  <c r="D23" i="1"/>
  <c r="BK22" i="1"/>
  <c r="BH22" i="1"/>
  <c r="BG22" i="1"/>
  <c r="BF22" i="1"/>
  <c r="AU22" i="1"/>
  <c r="AT22" i="1"/>
  <c r="AM22" i="1"/>
  <c r="AL22" i="1"/>
  <c r="AJ22" i="1"/>
  <c r="AI22" i="1"/>
  <c r="AH22" i="1"/>
  <c r="AE22" i="1"/>
  <c r="AD22" i="1"/>
  <c r="AC22" i="1"/>
  <c r="AA22" i="1"/>
  <c r="Z22" i="1"/>
  <c r="Y22" i="1"/>
  <c r="U22" i="1"/>
  <c r="Q22" i="1"/>
  <c r="P22" i="1"/>
  <c r="O22" i="1"/>
  <c r="N22" i="1"/>
  <c r="M22" i="1"/>
  <c r="L22" i="1"/>
  <c r="H22" i="1"/>
  <c r="G22" i="1"/>
  <c r="F22" i="1"/>
  <c r="D22" i="1"/>
  <c r="BK21" i="1"/>
  <c r="BH21" i="1"/>
  <c r="BG21" i="1"/>
  <c r="BF21" i="1"/>
  <c r="AU21" i="1"/>
  <c r="AT21" i="1"/>
  <c r="AM21" i="1"/>
  <c r="AL21" i="1"/>
  <c r="AJ21" i="1"/>
  <c r="AI21" i="1"/>
  <c r="AH21" i="1"/>
  <c r="AE21" i="1"/>
  <c r="AD21" i="1"/>
  <c r="AC21" i="1"/>
  <c r="AA21" i="1"/>
  <c r="Z21" i="1"/>
  <c r="Y21" i="1"/>
  <c r="U21" i="1"/>
  <c r="Q21" i="1"/>
  <c r="P21" i="1"/>
  <c r="O21" i="1"/>
  <c r="N21" i="1"/>
  <c r="M21" i="1"/>
  <c r="L21" i="1"/>
  <c r="H21" i="1"/>
  <c r="G21" i="1"/>
  <c r="F21" i="1"/>
  <c r="D21" i="1"/>
  <c r="BK20" i="1"/>
  <c r="BH20" i="1"/>
  <c r="BG20" i="1"/>
  <c r="BF20" i="1"/>
  <c r="AU20" i="1"/>
  <c r="AT20" i="1"/>
  <c r="AM20" i="1"/>
  <c r="AL20" i="1"/>
  <c r="AJ20" i="1"/>
  <c r="AI20" i="1"/>
  <c r="AH20" i="1"/>
  <c r="AE20" i="1"/>
  <c r="AD20" i="1"/>
  <c r="AC20" i="1"/>
  <c r="AA20" i="1"/>
  <c r="Z20" i="1"/>
  <c r="Y20" i="1"/>
  <c r="U20" i="1"/>
  <c r="Q20" i="1"/>
  <c r="P20" i="1"/>
  <c r="O20" i="1"/>
  <c r="N20" i="1"/>
  <c r="M20" i="1"/>
  <c r="L20" i="1"/>
  <c r="H20" i="1"/>
  <c r="G20" i="1"/>
  <c r="F20" i="1"/>
  <c r="D20" i="1"/>
  <c r="BK19" i="1"/>
  <c r="BH19" i="1"/>
  <c r="BG19" i="1"/>
  <c r="BF19" i="1"/>
  <c r="AU19" i="1"/>
  <c r="AT19" i="1"/>
  <c r="AM19" i="1"/>
  <c r="AL19" i="1"/>
  <c r="AJ19" i="1"/>
  <c r="AI19" i="1"/>
  <c r="AH19" i="1"/>
  <c r="AE19" i="1"/>
  <c r="AD19" i="1"/>
  <c r="AC19" i="1"/>
  <c r="AA19" i="1"/>
  <c r="Z19" i="1"/>
  <c r="Y19" i="1"/>
  <c r="U19" i="1"/>
  <c r="Q19" i="1"/>
  <c r="P19" i="1"/>
  <c r="O19" i="1"/>
  <c r="N19" i="1"/>
  <c r="M19" i="1"/>
  <c r="L19" i="1"/>
  <c r="H19" i="1"/>
  <c r="G19" i="1"/>
  <c r="F19" i="1"/>
  <c r="D19" i="1"/>
  <c r="BK18" i="1"/>
  <c r="BH18" i="1"/>
  <c r="BG18" i="1"/>
  <c r="BF18" i="1"/>
  <c r="AU18" i="1"/>
  <c r="AT18" i="1"/>
  <c r="AM18" i="1"/>
  <c r="AL18" i="1"/>
  <c r="AJ18" i="1"/>
  <c r="AI18" i="1"/>
  <c r="AH18" i="1"/>
  <c r="AE18" i="1"/>
  <c r="AD18" i="1"/>
  <c r="AC18" i="1"/>
  <c r="AA18" i="1"/>
  <c r="Z18" i="1"/>
  <c r="Y18" i="1"/>
  <c r="U18" i="1"/>
  <c r="Q18" i="1"/>
  <c r="P18" i="1"/>
  <c r="O18" i="1"/>
  <c r="N18" i="1"/>
  <c r="M18" i="1"/>
  <c r="L18" i="1"/>
  <c r="H18" i="1"/>
  <c r="G18" i="1"/>
  <c r="F18" i="1"/>
  <c r="D18" i="1"/>
  <c r="BK17" i="1"/>
  <c r="BH17" i="1"/>
  <c r="BG17" i="1"/>
  <c r="BF17" i="1"/>
  <c r="AU17" i="1"/>
  <c r="AT17" i="1"/>
  <c r="AM17" i="1"/>
  <c r="AL17" i="1"/>
  <c r="AJ17" i="1"/>
  <c r="AI17" i="1"/>
  <c r="AH17" i="1"/>
  <c r="AE17" i="1"/>
  <c r="AD17" i="1"/>
  <c r="AC17" i="1"/>
  <c r="AA17" i="1"/>
  <c r="Z17" i="1"/>
  <c r="Y17" i="1"/>
  <c r="U17" i="1"/>
  <c r="Q17" i="1"/>
  <c r="P17" i="1"/>
  <c r="O17" i="1"/>
  <c r="N17" i="1"/>
  <c r="M17" i="1"/>
  <c r="L17" i="1"/>
  <c r="H17" i="1"/>
  <c r="G17" i="1"/>
  <c r="F17" i="1"/>
  <c r="D17" i="1"/>
  <c r="BK16" i="1"/>
  <c r="BH16" i="1"/>
  <c r="BG16" i="1"/>
  <c r="BF16" i="1"/>
  <c r="AU16" i="1"/>
  <c r="AT16" i="1"/>
  <c r="AM16" i="1"/>
  <c r="AL16" i="1"/>
  <c r="AJ16" i="1"/>
  <c r="AI16" i="1"/>
  <c r="AH16" i="1"/>
  <c r="AE16" i="1"/>
  <c r="AD16" i="1"/>
  <c r="AC16" i="1"/>
  <c r="AA16" i="1"/>
  <c r="Z16" i="1"/>
  <c r="Y16" i="1"/>
  <c r="U16" i="1"/>
  <c r="Q16" i="1"/>
  <c r="P16" i="1"/>
  <c r="O16" i="1"/>
  <c r="N16" i="1"/>
  <c r="M16" i="1"/>
  <c r="L16" i="1"/>
  <c r="H16" i="1"/>
  <c r="G16" i="1"/>
  <c r="F16" i="1"/>
  <c r="D16" i="1"/>
  <c r="BK15" i="1"/>
  <c r="BH15" i="1"/>
  <c r="BG15" i="1"/>
  <c r="BF15" i="1"/>
  <c r="AU15" i="1"/>
  <c r="AT15" i="1"/>
  <c r="AM15" i="1"/>
  <c r="AL15" i="1"/>
  <c r="AJ15" i="1"/>
  <c r="AI15" i="1"/>
  <c r="AH15" i="1"/>
  <c r="AE15" i="1"/>
  <c r="AD15" i="1"/>
  <c r="AC15" i="1"/>
  <c r="AA15" i="1"/>
  <c r="Z15" i="1"/>
  <c r="Y15" i="1"/>
  <c r="U15" i="1"/>
  <c r="Q15" i="1"/>
  <c r="P15" i="1"/>
  <c r="O15" i="1"/>
  <c r="N15" i="1"/>
  <c r="M15" i="1"/>
  <c r="L15" i="1"/>
  <c r="H15" i="1"/>
  <c r="G15" i="1"/>
  <c r="F15" i="1"/>
  <c r="D15" i="1"/>
  <c r="BK14" i="1"/>
  <c r="BH14" i="1"/>
  <c r="BG14" i="1"/>
  <c r="BF14" i="1"/>
  <c r="AU14" i="1"/>
  <c r="AT14" i="1"/>
  <c r="AM14" i="1"/>
  <c r="AL14" i="1"/>
  <c r="AJ14" i="1"/>
  <c r="AI14" i="1"/>
  <c r="AH14" i="1"/>
  <c r="AE14" i="1"/>
  <c r="AD14" i="1"/>
  <c r="AC14" i="1"/>
  <c r="AA14" i="1"/>
  <c r="Z14" i="1"/>
  <c r="Y14" i="1"/>
  <c r="U14" i="1"/>
  <c r="Q14" i="1"/>
  <c r="P14" i="1"/>
  <c r="O14" i="1"/>
  <c r="N14" i="1"/>
  <c r="M14" i="1"/>
  <c r="L14" i="1"/>
  <c r="H14" i="1"/>
  <c r="G14" i="1"/>
  <c r="F14" i="1"/>
  <c r="D14" i="1"/>
  <c r="BK13" i="1"/>
  <c r="BH13" i="1"/>
  <c r="BG13" i="1"/>
  <c r="BF13" i="1"/>
  <c r="AU13" i="1"/>
  <c r="AT13" i="1"/>
  <c r="AM13" i="1"/>
  <c r="AL13" i="1"/>
  <c r="AJ13" i="1"/>
  <c r="AI13" i="1"/>
  <c r="AH13" i="1"/>
  <c r="AE13" i="1"/>
  <c r="AD13" i="1"/>
  <c r="AC13" i="1"/>
  <c r="AA13" i="1"/>
  <c r="Z13" i="1"/>
  <c r="Y13" i="1"/>
  <c r="U13" i="1"/>
  <c r="Q13" i="1"/>
  <c r="P13" i="1"/>
  <c r="O13" i="1"/>
  <c r="N13" i="1"/>
  <c r="M13" i="1"/>
  <c r="L13" i="1"/>
  <c r="H13" i="1"/>
  <c r="G13" i="1"/>
  <c r="F13" i="1"/>
  <c r="D13" i="1"/>
  <c r="BK12" i="1"/>
  <c r="BH12" i="1"/>
  <c r="BG12" i="1"/>
  <c r="BF12" i="1"/>
  <c r="AU12" i="1"/>
  <c r="AT12" i="1"/>
  <c r="AM12" i="1"/>
  <c r="AL12" i="1"/>
  <c r="AJ12" i="1"/>
  <c r="AI12" i="1"/>
  <c r="AH12" i="1"/>
  <c r="AE12" i="1"/>
  <c r="AD12" i="1"/>
  <c r="AC12" i="1"/>
  <c r="AA12" i="1"/>
  <c r="Z12" i="1"/>
  <c r="Y12" i="1"/>
  <c r="U12" i="1"/>
  <c r="Q12" i="1"/>
  <c r="P12" i="1"/>
  <c r="O12" i="1"/>
  <c r="N12" i="1"/>
  <c r="M12" i="1"/>
  <c r="L12" i="1"/>
  <c r="H12" i="1"/>
  <c r="G12" i="1"/>
  <c r="F12" i="1"/>
  <c r="D12" i="1"/>
  <c r="BK11" i="1"/>
  <c r="BH11" i="1"/>
  <c r="BG11" i="1"/>
  <c r="BF11" i="1"/>
  <c r="AU11" i="1"/>
  <c r="AT11" i="1"/>
  <c r="AM11" i="1"/>
  <c r="AL11" i="1"/>
  <c r="AJ11" i="1"/>
  <c r="AI11" i="1"/>
  <c r="AH11" i="1"/>
  <c r="AE11" i="1"/>
  <c r="AD11" i="1"/>
  <c r="AC11" i="1"/>
  <c r="AA11" i="1"/>
  <c r="Z11" i="1"/>
  <c r="Y11" i="1"/>
  <c r="U11" i="1"/>
  <c r="Q11" i="1"/>
  <c r="P11" i="1"/>
  <c r="O11" i="1"/>
  <c r="N11" i="1"/>
  <c r="M11" i="1"/>
  <c r="L11" i="1"/>
  <c r="H11" i="1"/>
  <c r="G11" i="1"/>
  <c r="F11" i="1"/>
  <c r="D11" i="1"/>
  <c r="BK10" i="1"/>
  <c r="BH10" i="1"/>
  <c r="BG10" i="1"/>
  <c r="BF10" i="1"/>
  <c r="AU10" i="1"/>
  <c r="AT10" i="1"/>
  <c r="AM10" i="1"/>
  <c r="AL10" i="1"/>
  <c r="AJ10" i="1"/>
  <c r="AI10" i="1"/>
  <c r="AH10" i="1"/>
  <c r="AE10" i="1"/>
  <c r="AD10" i="1"/>
  <c r="AC10" i="1"/>
  <c r="AA10" i="1"/>
  <c r="Z10" i="1"/>
  <c r="Y10" i="1"/>
  <c r="U10" i="1"/>
  <c r="Q10" i="1"/>
  <c r="P10" i="1"/>
  <c r="O10" i="1"/>
  <c r="N10" i="1"/>
  <c r="M10" i="1"/>
  <c r="L10" i="1"/>
  <c r="H10" i="1"/>
  <c r="G10" i="1"/>
  <c r="F10" i="1"/>
  <c r="D10" i="1"/>
  <c r="BK9" i="1"/>
  <c r="BH9" i="1"/>
  <c r="BG9" i="1"/>
  <c r="BF9" i="1"/>
  <c r="AU9" i="1"/>
  <c r="AT9" i="1"/>
  <c r="AM9" i="1"/>
  <c r="AL9" i="1"/>
  <c r="AJ9" i="1"/>
  <c r="AI9" i="1"/>
  <c r="AH9" i="1"/>
  <c r="AE9" i="1"/>
  <c r="AD9" i="1"/>
  <c r="AC9" i="1"/>
  <c r="AA9" i="1"/>
  <c r="Z9" i="1"/>
  <c r="Y9" i="1"/>
  <c r="U9" i="1"/>
  <c r="Q9" i="1"/>
  <c r="P9" i="1"/>
  <c r="O9" i="1"/>
  <c r="N9" i="1"/>
  <c r="M9" i="1"/>
  <c r="L9" i="1"/>
  <c r="H9" i="1"/>
  <c r="G9" i="1"/>
  <c r="F9" i="1"/>
  <c r="D9" i="1"/>
  <c r="BK8" i="1"/>
  <c r="BH8" i="1"/>
  <c r="BG8" i="1"/>
  <c r="BF8" i="1"/>
  <c r="AU8" i="1"/>
  <c r="AT8" i="1"/>
  <c r="AM8" i="1"/>
  <c r="AL8" i="1"/>
  <c r="AJ8" i="1"/>
  <c r="AI8" i="1"/>
  <c r="AH8" i="1"/>
  <c r="AE8" i="1"/>
  <c r="AD8" i="1"/>
  <c r="AC8" i="1"/>
  <c r="AA8" i="1"/>
  <c r="Z8" i="1"/>
  <c r="Y8" i="1"/>
  <c r="U8" i="1"/>
  <c r="Q8" i="1"/>
  <c r="P8" i="1"/>
  <c r="O8" i="1"/>
  <c r="N8" i="1"/>
  <c r="M8" i="1"/>
  <c r="L8" i="1"/>
  <c r="H8" i="1"/>
  <c r="G8" i="1"/>
  <c r="F8" i="1"/>
  <c r="D8" i="1"/>
  <c r="BK7" i="1"/>
  <c r="BH7" i="1"/>
  <c r="BG7" i="1"/>
  <c r="BF7" i="1"/>
  <c r="AU7" i="1"/>
  <c r="AT7" i="1"/>
  <c r="AM7" i="1"/>
  <c r="AL7" i="1"/>
  <c r="AJ7" i="1"/>
  <c r="AI7" i="1"/>
  <c r="AH7" i="1"/>
  <c r="AE7" i="1"/>
  <c r="AD7" i="1"/>
  <c r="AC7" i="1"/>
  <c r="AA7" i="1"/>
  <c r="Z7" i="1"/>
  <c r="Y7" i="1"/>
  <c r="U7" i="1"/>
  <c r="Q7" i="1"/>
  <c r="P7" i="1"/>
  <c r="O7" i="1"/>
  <c r="N7" i="1"/>
  <c r="M7" i="1"/>
  <c r="L7" i="1"/>
  <c r="H7" i="1"/>
  <c r="G7" i="1"/>
  <c r="F7" i="1"/>
  <c r="D7" i="1"/>
  <c r="BK6" i="1"/>
  <c r="BH6" i="1"/>
  <c r="BG6" i="1"/>
  <c r="BF6" i="1"/>
  <c r="AU6" i="1"/>
  <c r="AT6" i="1"/>
  <c r="AM6" i="1"/>
  <c r="AL6" i="1"/>
  <c r="AJ6" i="1"/>
  <c r="AI6" i="1"/>
  <c r="AH6" i="1"/>
  <c r="AE6" i="1"/>
  <c r="AD6" i="1"/>
  <c r="AC6" i="1"/>
  <c r="AA6" i="1"/>
  <c r="Z6" i="1"/>
  <c r="Y6" i="1"/>
  <c r="U6" i="1"/>
  <c r="Q6" i="1"/>
  <c r="P6" i="1"/>
  <c r="O6" i="1"/>
  <c r="N6" i="1"/>
  <c r="M6" i="1"/>
  <c r="L6" i="1"/>
  <c r="H6" i="1"/>
  <c r="G6" i="1"/>
  <c r="F6" i="1"/>
  <c r="D6" i="1"/>
  <c r="BK5" i="1"/>
  <c r="BH5" i="1"/>
  <c r="BG5" i="1"/>
  <c r="BF5" i="1"/>
  <c r="AU5" i="1"/>
  <c r="AT5" i="1"/>
  <c r="AM5" i="1"/>
  <c r="AL5" i="1"/>
  <c r="AJ5" i="1"/>
  <c r="AI5" i="1"/>
  <c r="AH5" i="1"/>
  <c r="AE5" i="1"/>
  <c r="AD5" i="1"/>
  <c r="AC5" i="1"/>
  <c r="AA5" i="1"/>
  <c r="Z5" i="1"/>
  <c r="Y5" i="1"/>
  <c r="U5" i="1"/>
  <c r="Q5" i="1"/>
  <c r="P5" i="1"/>
  <c r="O5" i="1"/>
  <c r="N5" i="1"/>
  <c r="M5" i="1"/>
  <c r="L5" i="1"/>
  <c r="H5" i="1"/>
  <c r="G5" i="1"/>
  <c r="F5" i="1"/>
  <c r="D5" i="1"/>
  <c r="BK4" i="1"/>
  <c r="BH4" i="1"/>
  <c r="BG4" i="1"/>
  <c r="BF4" i="1"/>
  <c r="AU4" i="1"/>
  <c r="AT4" i="1"/>
  <c r="AM4" i="1"/>
  <c r="AL4" i="1"/>
  <c r="AJ4" i="1"/>
  <c r="AI4" i="1"/>
  <c r="AH4" i="1"/>
  <c r="AE4" i="1"/>
  <c r="AD4" i="1"/>
  <c r="AC4" i="1"/>
  <c r="AA4" i="1"/>
  <c r="Z4" i="1"/>
  <c r="Y4" i="1"/>
  <c r="U4" i="1"/>
  <c r="Q4" i="1"/>
  <c r="P4" i="1"/>
  <c r="O4" i="1"/>
  <c r="N4" i="1"/>
  <c r="M4" i="1"/>
  <c r="L4" i="1"/>
  <c r="H4" i="1"/>
  <c r="G4" i="1"/>
  <c r="F4" i="1"/>
  <c r="D4" i="1"/>
  <c r="BK3" i="1"/>
  <c r="BH3" i="1"/>
  <c r="BG3" i="1"/>
  <c r="BF3" i="1"/>
  <c r="AU3" i="1"/>
  <c r="AT3" i="1"/>
  <c r="AM3" i="1"/>
  <c r="AL3" i="1"/>
  <c r="AJ3" i="1"/>
  <c r="AI3" i="1"/>
  <c r="AH3" i="1"/>
  <c r="AE3" i="1"/>
  <c r="AD3" i="1"/>
  <c r="AC3" i="1"/>
  <c r="AA3" i="1"/>
  <c r="Z3" i="1"/>
  <c r="Y3" i="1"/>
  <c r="U3" i="1"/>
  <c r="Q3" i="1"/>
  <c r="P3" i="1"/>
  <c r="O3" i="1"/>
  <c r="N3" i="1"/>
  <c r="M3" i="1"/>
  <c r="L3" i="1"/>
  <c r="H3" i="1"/>
  <c r="G3" i="1"/>
  <c r="F3" i="1"/>
  <c r="D3" i="1"/>
  <c r="BK2" i="1"/>
  <c r="BH2" i="1"/>
  <c r="BG2" i="1"/>
  <c r="BF2" i="1"/>
  <c r="AU2" i="1"/>
  <c r="AT2" i="1"/>
  <c r="AM2" i="1"/>
  <c r="AL2" i="1"/>
  <c r="AJ2" i="1"/>
  <c r="AI2" i="1"/>
  <c r="AH2" i="1"/>
  <c r="AE2" i="1"/>
  <c r="AD2" i="1"/>
  <c r="AC2" i="1"/>
  <c r="AA2" i="1"/>
  <c r="Z2" i="1"/>
  <c r="Y2" i="1"/>
  <c r="U2" i="1"/>
  <c r="Q2" i="1"/>
  <c r="P2" i="1"/>
  <c r="O2" i="1"/>
  <c r="N2" i="1"/>
  <c r="M2" i="1"/>
  <c r="L2" i="1"/>
  <c r="H2" i="1"/>
  <c r="G2" i="1"/>
  <c r="F2" i="1"/>
  <c r="D2" i="1"/>
</calcChain>
</file>

<file path=xl/sharedStrings.xml><?xml version="1.0" encoding="utf-8"?>
<sst xmlns="http://schemas.openxmlformats.org/spreadsheetml/2006/main" count="2031" uniqueCount="194">
  <si>
    <t>ID1</t>
  </si>
  <si>
    <t>ID</t>
  </si>
  <si>
    <t>FUENTE</t>
  </si>
  <si>
    <t>SECOP II</t>
  </si>
  <si>
    <t>NÚMERO DE CONTRATO</t>
  </si>
  <si>
    <t>NOMBRE CONTRATISTA</t>
  </si>
  <si>
    <t>FECHA SUSCRIPCION
(aaaa/mm/dd)</t>
  </si>
  <si>
    <t>OBJETO DEL CONTRATO</t>
  </si>
  <si>
    <t>MODALIDAD DE SELECCIÓN</t>
  </si>
  <si>
    <t>CLASE DE CONTRATO</t>
  </si>
  <si>
    <t>DESCRIBA OTRA CLASE DE CONTRATO</t>
  </si>
  <si>
    <t>CDP</t>
  </si>
  <si>
    <t>RP</t>
  </si>
  <si>
    <t>RP (fecha)</t>
  </si>
  <si>
    <t>SUBPROGRAMA</t>
  </si>
  <si>
    <t>VALOR MENSUAL DEL CONTRATO</t>
  </si>
  <si>
    <t>VALOR TOTAL DEL CONTRATO (SECOPII)</t>
  </si>
  <si>
    <t>OBS PAGO
SECOP</t>
  </si>
  <si>
    <r>
      <rPr>
        <b/>
        <sz val="10"/>
        <color rgb="FF548135"/>
        <rFont val="Arial"/>
        <family val="2"/>
      </rPr>
      <t>CONTRATISTA :</t>
    </r>
    <r>
      <rPr>
        <b/>
        <sz val="10"/>
        <color rgb="FF2F5496"/>
        <rFont val="Arial"/>
        <family val="2"/>
      </rPr>
      <t xml:space="preserve"> NATURALEZA</t>
    </r>
  </si>
  <si>
    <r>
      <rPr>
        <b/>
        <sz val="10"/>
        <color rgb="FF548135"/>
        <rFont val="Arial"/>
        <family val="2"/>
      </rPr>
      <t>CONTRATISTA:</t>
    </r>
    <r>
      <rPr>
        <b/>
        <sz val="10"/>
        <color rgb="FF2F5496"/>
        <rFont val="Arial"/>
        <family val="2"/>
      </rPr>
      <t xml:space="preserve">
TIPO IDENTIFICACIÓN</t>
    </r>
  </si>
  <si>
    <r>
      <rPr>
        <b/>
        <sz val="10"/>
        <color rgb="FF548135"/>
        <rFont val="Arial"/>
        <family val="2"/>
      </rPr>
      <t>CONTRATISTA:</t>
    </r>
    <r>
      <rPr>
        <b/>
        <sz val="10"/>
        <color rgb="FF2F5496"/>
        <rFont val="Arial"/>
        <family val="2"/>
      </rPr>
      <t xml:space="preserve"> NÚMERO DE IDENTIFICACIÓN</t>
    </r>
  </si>
  <si>
    <r>
      <rPr>
        <b/>
        <sz val="10"/>
        <color rgb="FF548135"/>
        <rFont val="Arial"/>
        <family val="2"/>
      </rPr>
      <t>CONTRATISTA :</t>
    </r>
    <r>
      <rPr>
        <b/>
        <sz val="10"/>
        <color rgb="FF2F5496"/>
        <rFont val="Arial"/>
        <family val="2"/>
      </rPr>
      <t xml:space="preserve"> NÚMERO DEL NIT</t>
    </r>
  </si>
  <si>
    <r>
      <rPr>
        <b/>
        <sz val="10"/>
        <color rgb="FF6AA84F"/>
        <rFont val="Arial"/>
        <family val="2"/>
      </rPr>
      <t>CONTRATISTA :</t>
    </r>
    <r>
      <rPr>
        <b/>
        <sz val="10"/>
        <color rgb="FF2F5496"/>
        <rFont val="Arial"/>
        <family val="2"/>
      </rPr>
      <t>DÍG DE VERIFICACIÓN(NIT o RUT)</t>
    </r>
  </si>
  <si>
    <r>
      <rPr>
        <b/>
        <sz val="10"/>
        <color rgb="FF548135"/>
        <rFont val="Arial"/>
        <family val="2"/>
      </rPr>
      <t>CONTRATISTA:</t>
    </r>
    <r>
      <rPr>
        <b/>
        <sz val="10"/>
        <color rgb="FF2F5496"/>
        <rFont val="Arial"/>
        <family val="2"/>
      </rPr>
      <t xml:space="preserve"> CÉDULA DE EXTRANJERÍA</t>
    </r>
  </si>
  <si>
    <r>
      <rPr>
        <b/>
        <sz val="10"/>
        <color rgb="FF548135"/>
        <rFont val="Arial"/>
        <family val="2"/>
      </rPr>
      <t>CONTRATISTA :</t>
    </r>
    <r>
      <rPr>
        <b/>
        <sz val="10"/>
        <color rgb="FF2F5496"/>
        <rFont val="Arial"/>
        <family val="2"/>
      </rPr>
      <t xml:space="preserve"> NOMBRE COMPLETO</t>
    </r>
  </si>
  <si>
    <r>
      <rPr>
        <b/>
        <sz val="10"/>
        <color rgb="FFFF0000"/>
        <rFont val="Arial"/>
        <family val="2"/>
      </rPr>
      <t>GARANTÍAS:</t>
    </r>
    <r>
      <rPr>
        <b/>
        <sz val="10"/>
        <color rgb="FF2F5496"/>
        <rFont val="Arial"/>
        <family val="2"/>
      </rPr>
      <t xml:space="preserve"> TIPO DE GARANTÍA</t>
    </r>
  </si>
  <si>
    <t>ASEGURADORAS</t>
  </si>
  <si>
    <r>
      <rPr>
        <b/>
        <sz val="10"/>
        <color rgb="FFFF0000"/>
        <rFont val="Arial"/>
        <family val="2"/>
      </rPr>
      <t>GARANTÍAS :</t>
    </r>
    <r>
      <rPr>
        <b/>
        <sz val="10"/>
        <color rgb="FF2F5496"/>
        <rFont val="Arial"/>
        <family val="2"/>
      </rPr>
      <t xml:space="preserve"> RIESGOS ASEGURADOS</t>
    </r>
  </si>
  <si>
    <r>
      <rPr>
        <b/>
        <sz val="10"/>
        <color rgb="FFFF0000"/>
        <rFont val="Arial"/>
        <family val="2"/>
      </rPr>
      <t>GARANTÍAS :</t>
    </r>
    <r>
      <rPr>
        <b/>
        <sz val="10"/>
        <color rgb="FF2F5496"/>
        <rFont val="Arial"/>
        <family val="2"/>
      </rPr>
      <t xml:space="preserve"> FECHA DE EXPEDICIÓN </t>
    </r>
  </si>
  <si>
    <r>
      <rPr>
        <b/>
        <sz val="10"/>
        <color rgb="FFFF0000"/>
        <rFont val="Arial"/>
        <family val="2"/>
      </rPr>
      <t>GARANTÍAS :</t>
    </r>
    <r>
      <rPr>
        <b/>
        <sz val="10"/>
        <color rgb="FF2F5496"/>
        <rFont val="Arial"/>
        <family val="2"/>
      </rPr>
      <t xml:space="preserve"> NUMERO DE GARANTÍAS</t>
    </r>
  </si>
  <si>
    <t>DEPENDENCIA</t>
  </si>
  <si>
    <t>TIPO DE SEGUIMIENTO</t>
  </si>
  <si>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</si>
  <si>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</si>
  <si>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</si>
  <si>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PLAZO DEL CONTRATO (DÍAS)</t>
  </si>
  <si>
    <t>ANTICIPOS o PAGO ANTICIPADO</t>
  </si>
  <si>
    <t>FECHA APROBACION PÓLIZA SECOP II</t>
  </si>
  <si>
    <t>FECHA AFILIACION ARL</t>
  </si>
  <si>
    <t>ADICIONES 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</si>
  <si>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</si>
  <si>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</si>
  <si>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</si>
  <si>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</si>
  <si>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</si>
  <si>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</si>
  <si>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</si>
  <si>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</si>
  <si>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</si>
  <si>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</si>
  <si>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</si>
  <si>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</si>
  <si>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</si>
  <si>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</si>
  <si>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</si>
  <si>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</si>
  <si>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</si>
  <si>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</si>
  <si>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</si>
  <si>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</si>
  <si>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</si>
  <si>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</si>
  <si>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 DEL CONTRATO</t>
  </si>
  <si>
    <t>SEGUIMIENTO CERTIF</t>
  </si>
  <si>
    <t>PLAZO REAL
para terminaciones anticipadas</t>
  </si>
  <si>
    <t>VALOR DEFINITIVO
para terminaciones anticipadas</t>
  </si>
  <si>
    <t>ORDENADOR DEL GASTO</t>
  </si>
  <si>
    <t>DTAM-CPS-001-2022</t>
  </si>
  <si>
    <t>2 NACIONAL</t>
  </si>
  <si>
    <t>2 CONTRATACIÓN DIRECTA</t>
  </si>
  <si>
    <t>14 PRESTACIÓN DE SERVICIOS</t>
  </si>
  <si>
    <t>N/A</t>
  </si>
  <si>
    <t>1 PERSONA NATURAL</t>
  </si>
  <si>
    <t>3 CÉDULA DE CIUDADANÍA</t>
  </si>
  <si>
    <t>N-A</t>
  </si>
  <si>
    <t>11 NO SE DILIGENCIA INFORMACIÓN PARA ESTE FORMULARIO EN ESTE PERÍODO DE REPORTE</t>
  </si>
  <si>
    <t>CUMPLIMIENTO</t>
  </si>
  <si>
    <t>2 SUPERVISOR</t>
  </si>
  <si>
    <t>4 NO SE HA ADICIONADO NI EN VALOR y EN TIEMPO</t>
  </si>
  <si>
    <t>2. NO</t>
  </si>
  <si>
    <t>VIGENTE</t>
  </si>
  <si>
    <t>ROBINSON GALINDO TARAZONA</t>
  </si>
  <si>
    <t>DTAM-CPS-002-2022</t>
  </si>
  <si>
    <t>DTAM-CPS-003-2022</t>
  </si>
  <si>
    <t>DTAM-CPS-004-2022</t>
  </si>
  <si>
    <t>DTAM-CPS-005-2022</t>
  </si>
  <si>
    <t>DTAM-CPS-006-2022</t>
  </si>
  <si>
    <t>DTAM-CPS-007-2022</t>
  </si>
  <si>
    <t>DTAM-CPS-008-2022</t>
  </si>
  <si>
    <t>DTAM-CPS-009-2022</t>
  </si>
  <si>
    <t>DTAM-CPS-010-2022</t>
  </si>
  <si>
    <t>DTAM-CPS-011-2022</t>
  </si>
  <si>
    <t>DTAM-CPS-012-2022</t>
  </si>
  <si>
    <t>DTAM-CPS-013-2022</t>
  </si>
  <si>
    <t>DTAM-CPS-014-2022</t>
  </si>
  <si>
    <t>DTAM-CPS-015-2022</t>
  </si>
  <si>
    <t>DTAM-CPS-016-2022</t>
  </si>
  <si>
    <t>DTAM-CPS-017-2022</t>
  </si>
  <si>
    <t>DTAM-CPS-018-2022</t>
  </si>
  <si>
    <t>DTAM-CPS-019-2022</t>
  </si>
  <si>
    <t>DTAM-CPS-020-2022</t>
  </si>
  <si>
    <t>DTAM-CPS-021-2022</t>
  </si>
  <si>
    <t>DTAM-CPS-022-2022</t>
  </si>
  <si>
    <t>DTAM-CPS-023-2022</t>
  </si>
  <si>
    <t>DTAM-CPS-024-2022</t>
  </si>
  <si>
    <t>DTAM-CPS-025-2022</t>
  </si>
  <si>
    <t>DTAM-CPS-026-2022</t>
  </si>
  <si>
    <t>DTAM-CPS-027-2022</t>
  </si>
  <si>
    <t>DTAM-CPS-028-2022</t>
  </si>
  <si>
    <t>DTAM-CPS-029-2022</t>
  </si>
  <si>
    <t>DTAM-CPS-030-2022</t>
  </si>
  <si>
    <t>DTAM-CPS-031-2022</t>
  </si>
  <si>
    <t>DTAM-CPS-032-2022</t>
  </si>
  <si>
    <t>DTAM-CPS-033-2022</t>
  </si>
  <si>
    <t>DTAM-CPS-034-2022</t>
  </si>
  <si>
    <t>DTAM-CPS-035-2022</t>
  </si>
  <si>
    <t>DTAM-CPS-036-2022</t>
  </si>
  <si>
    <t>DTAM-CPS-037-2022</t>
  </si>
  <si>
    <t>DTAM-CPS-038-2022</t>
  </si>
  <si>
    <t>DTAM-CPS-039-2022</t>
  </si>
  <si>
    <t>DTAM-CPS-040-2022</t>
  </si>
  <si>
    <t>DTAM-CPS-041-2022</t>
  </si>
  <si>
    <t>DTAM-CPS-042-2022</t>
  </si>
  <si>
    <t>LIQUIDADO</t>
  </si>
  <si>
    <t>DTAM-CPS-043-2022</t>
  </si>
  <si>
    <t>DTAM-CPS-044-2022</t>
  </si>
  <si>
    <t>DTAM-CPS-045-2022</t>
  </si>
  <si>
    <t>DTAM-CPS-046-2022</t>
  </si>
  <si>
    <t>DTAM-CPS-047-2022</t>
  </si>
  <si>
    <t>DTAM-CPS-048-2022</t>
  </si>
  <si>
    <t>DTAM-CPS-049-2022</t>
  </si>
  <si>
    <t>DTAM-CPS-050-2022</t>
  </si>
  <si>
    <t>DTAM-CPS-051-2022</t>
  </si>
  <si>
    <t>DTAM-CPS-052-2022</t>
  </si>
  <si>
    <t>DTAM-CPS-053-2022</t>
  </si>
  <si>
    <t>DTAM-CPS-054-2022</t>
  </si>
  <si>
    <t>DTAM-CPS-055-2022</t>
  </si>
  <si>
    <t>DTAM-CPS-056-2022</t>
  </si>
  <si>
    <t>DTAM-CPS-057-2022</t>
  </si>
  <si>
    <t>DTAM-CPS-058-2022</t>
  </si>
  <si>
    <t>DTAM-CPS-059-2022</t>
  </si>
  <si>
    <t>DTAM-CPS-060-2022</t>
  </si>
  <si>
    <t>DTAM-CPS-061-2022</t>
  </si>
  <si>
    <t>DTAM-CPS-062-2022</t>
  </si>
  <si>
    <t>DTAM-CPS-063-2022</t>
  </si>
  <si>
    <t>DTAM-CPS-064-2022</t>
  </si>
  <si>
    <t>DTAM-CPS-065-2022</t>
  </si>
  <si>
    <t>DTAM-CPS-066-2022</t>
  </si>
  <si>
    <t>DTAM-CPS-067-2022</t>
  </si>
  <si>
    <t>DTAM-CPS-068-2022</t>
  </si>
  <si>
    <t>DTAM-CPS-069-2022</t>
  </si>
  <si>
    <t>DTAM-CPS-070-2022</t>
  </si>
  <si>
    <t>DTAM-CPS-071-2022</t>
  </si>
  <si>
    <t>DTAM-CPS-072-2022</t>
  </si>
  <si>
    <t>DTAM-CPS-073-2022</t>
  </si>
  <si>
    <t>DTAM-CPS-074-2022</t>
  </si>
  <si>
    <t>DTAM-CPS-075-2022</t>
  </si>
  <si>
    <t>DTAM-CPS-076-2022</t>
  </si>
  <si>
    <t>DTAM-CPS-077-2022</t>
  </si>
  <si>
    <t>DTAM-CPS-078-2022</t>
  </si>
  <si>
    <t>DTAM-CPS-079-2022</t>
  </si>
  <si>
    <t>DTAM-CPS-080-2022</t>
  </si>
  <si>
    <t>DTAM-CPS-081-2022</t>
  </si>
  <si>
    <t>DTAM-CPS-082-2022</t>
  </si>
  <si>
    <t>DTAM-CPS-083-2022</t>
  </si>
  <si>
    <t>DTAM-CPS-084-2022</t>
  </si>
  <si>
    <t>DTAM-CPS-085-2022</t>
  </si>
  <si>
    <t>DTAM-CPS-086-2022</t>
  </si>
  <si>
    <t>DTAM-CPS-087-2022</t>
  </si>
  <si>
    <t>DTAM-CPS-088-2022</t>
  </si>
  <si>
    <t>DTAM-CPS-089-2022</t>
  </si>
  <si>
    <t>DTAM-CPS-090-2022</t>
  </si>
  <si>
    <t>DTAM-CPS-091-2022</t>
  </si>
  <si>
    <t>DTAM-CPS-092-2022</t>
  </si>
  <si>
    <t>DTAM-CPS-093-2022</t>
  </si>
  <si>
    <t>DTAM-CPS-094-2022</t>
  </si>
  <si>
    <t>DTAM-CPS-095-2022</t>
  </si>
  <si>
    <t>DTAM-CPS-096-2022</t>
  </si>
  <si>
    <t>DTAM-CPS-097-2022</t>
  </si>
  <si>
    <t>DTAM-CPS-098-2022</t>
  </si>
  <si>
    <t>DTAM-CPS-099-2022</t>
  </si>
  <si>
    <t>DTAM-CPS-100-2022</t>
  </si>
  <si>
    <t>DTAM-CPS-101-2022</t>
  </si>
  <si>
    <t>DTAM-CPS-102-2022</t>
  </si>
  <si>
    <t>DTAM-CPS-103-2022</t>
  </si>
  <si>
    <t>DTAM-CPS-104-2022</t>
  </si>
  <si>
    <t>DTAM-CPS-105-2022</t>
  </si>
  <si>
    <t>DTAM-CPS-106-2022</t>
  </si>
  <si>
    <t>DTAM-CPS-107-2022</t>
  </si>
  <si>
    <t>DTAM-CPS-107-2023</t>
  </si>
  <si>
    <t>12 NO SE DILIGENCIA INFORMACIÓN PARA ESTE FORMULARIO EN ESTE PERÍODO DE REPORTE</t>
  </si>
  <si>
    <t>DTAM-CPS-107-2024</t>
  </si>
  <si>
    <t>057C</t>
  </si>
  <si>
    <t>13 NO SE DILIGENCIA INFORMACIÓN PARA ESTE FORMULARIO EN ESTE PERÍODO DE REPORTE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</si>
</sst>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quot;$&quot;\ #,##0"/>
    <numFmt numFmtId="165" formatCode="&quot;$&quot;\ #,##0.00"/>
    <numFmt numFmtId="166" formatCode="_-* #,##0_-;\-* #,##0_-;_-* &quot;-&quot;??_-;_-@_-"/>
    <numFmt numFmtId="167" formatCode="yyyy/mm/dd;@"/>
    <numFmt numFmtId="168" formatCode="yyyy/mm/dd"/>
    <numFmt numFmtId="169" formatCode="d/m/yyyy"/>
    <numFmt numFmtId="170" formatCode="[$$]#,##0.00"/>
  </numFmts>
  <fonts count="20">
    <font>
      <sz val="10"/>
      <color rgb="FF000000"/>
      <name val="Arial"/>
    </font>
    <font>
      <sz val="10"/>
      <color rgb="FF000000"/>
      <name val="Arial"/>
      <family val="2"/>
    </font>
    <font>
      <b/>
      <sz val="10"/>
      <color rgb="FF2F5496"/>
      <name val="Arial"/>
      <family val="2"/>
    </font>
    <font>
      <b/>
      <sz val="10"/>
      <color rgb="FF2F5496"/>
      <name val="Arial Narrow"/>
      <family val="2"/>
    </font>
    <font>
      <b/>
      <sz val="10"/>
      <color rgb="FF548135"/>
      <name val="Arial"/>
      <family val="2"/>
    </font>
    <font>
      <b/>
      <sz val="10"/>
      <color rgb="FF6AA84F"/>
      <name val="Arial"/>
      <family val="2"/>
    </font>
    <font>
      <b/>
      <sz val="10"/>
      <color rgb="FFFF0000"/>
      <name val="Arial"/>
      <family val="2"/>
    </font>
    <font>
      <b/>
      <sz val="10"/>
      <color rgb="FF8EAADB"/>
      <name val="Arial"/>
      <family val="2"/>
    </font>
    <font>
      <sz val="10"/>
      <color rgb="FF2F5496"/>
      <name val="Arial"/>
      <family val="2"/>
    </font>
    <font>
      <b/>
      <sz val="10"/>
      <color rgb="FFE0E9D9"/>
      <name val="Arial"/>
      <family val="2"/>
    </font>
    <font>
      <b/>
      <sz val="10"/>
      <color rgb="FFFFFFFF"/>
      <name val="Arial"/>
      <family val="2"/>
    </font>
    <font>
      <sz val="10"/>
      <name val="Arial"/>
      <family val="2"/>
    </font>
    <font>
      <b/>
      <sz val="10"/>
      <color rgb="FF660000"/>
      <name val="Arial"/>
      <family val="2"/>
    </font>
    <font>
      <sz val="10"/>
      <name val="Arial Narrow"/>
      <family val="2"/>
    </font>
    <font>
      <sz val="11"/>
      <color rgb="FF000000"/>
      <name val="Calibri"/>
      <family val="2"/>
    </font>
    <font>
      <b/>
      <sz val="10"/>
      <name val="Arial"/>
      <family val="2"/>
    </font>
    <font>
      <u/>
      <sz val="10"/>
      <color rgb="FF1155CC"/>
      <name val="Arial"/>
      <family val="2"/>
    </font>
    <font>
      <sz val="11"/>
      <name val="Calibri"/>
      <family val="2"/>
    </font>
    <font>
      <sz val="10"/>
      <name val="&quot;Arial Narrow&quot;"/>
    </font>
    <font>
      <sz val="10"/>
      <color rgb="FF000000"/>
      <name val="Arial Narrow"/>
      <family val="2"/>
    </font>
  </fonts>
  <fills count="30">
    <fill>
      <patternFill patternType="none"/>
    </fill>
    <fill>
      <patternFill patternType="gray125"/>
    </fill>
    <fill>
      <patternFill patternType="solid">
        <fgColor rgb="FFC5E0B3"/>
        <bgColor indexed="64"/>
      </patternFill>
    </fill>
    <fill>
      <patternFill patternType="solid">
        <fgColor rgb="FFC5E0B3"/>
        <bgColor rgb="FFC5E0B3"/>
      </patternFill>
    </fill>
    <fill>
      <patternFill patternType="solid">
        <fgColor rgb="FFC5E0B3"/>
        <bgColor rgb="FFFFD966"/>
      </patternFill>
    </fill>
    <fill>
      <patternFill patternType="solid">
        <fgColor rgb="FFC5E0B3"/>
        <bgColor rgb="FFB4A7D6"/>
      </patternFill>
    </fill>
    <fill>
      <patternFill patternType="solid">
        <fgColor rgb="FFC5E0B3"/>
        <bgColor rgb="FFA8D08D"/>
      </patternFill>
    </fill>
    <fill>
      <patternFill patternType="solid">
        <fgColor rgb="FFC5E0B3"/>
        <bgColor rgb="FF1155CC"/>
      </patternFill>
    </fill>
    <fill>
      <patternFill patternType="solid">
        <fgColor rgb="FFC5E0B3"/>
        <bgColor rgb="FF2F5496"/>
      </patternFill>
    </fill>
    <fill>
      <patternFill patternType="solid">
        <fgColor rgb="FFC5E0B3"/>
        <bgColor rgb="FF00FFFF"/>
      </patternFill>
    </fill>
    <fill>
      <patternFill patternType="solid">
        <fgColor rgb="FFC5E0B3"/>
        <bgColor rgb="FFD9EAD3"/>
      </patternFill>
    </fill>
    <fill>
      <patternFill patternType="solid">
        <fgColor rgb="FFFFF2CC"/>
        <bgColor rgb="FFFFF2CC"/>
      </patternFill>
    </fill>
    <fill>
      <patternFill patternType="solid">
        <fgColor rgb="FFEFEFEF"/>
        <bgColor rgb="FFEFEFEF"/>
      </patternFill>
    </fill>
    <fill>
      <patternFill patternType="solid">
        <fgColor theme="8" tint="0.39997558519241921"/>
        <bgColor indexed="64"/>
      </patternFill>
    </fill>
    <fill>
      <patternFill patternType="solid">
        <fgColor rgb="FFD9EAD3"/>
        <bgColor rgb="FFD9EAD3"/>
      </patternFill>
    </fill>
    <fill>
      <patternFill patternType="solid">
        <fgColor rgb="FFE0E9D9"/>
        <bgColor rgb="FFE0E9D9"/>
      </patternFill>
    </fill>
    <fill>
      <patternFill patternType="solid">
        <fgColor rgb="FFF1C232"/>
        <bgColor rgb="FFF1C232"/>
      </patternFill>
    </fill>
    <fill>
      <patternFill patternType="solid">
        <fgColor rgb="FFB6D7A8"/>
        <bgColor rgb="FFB6D7A8"/>
      </patternFill>
    </fill>
    <fill>
      <patternFill patternType="solid">
        <fgColor theme="8" tint="0.39997558519241921"/>
        <bgColor rgb="FFA4C2F4"/>
      </patternFill>
    </fill>
    <fill>
      <patternFill patternType="solid">
        <fgColor rgb="FFFFFF00"/>
        <bgColor indexed="64"/>
      </patternFill>
    </fill>
    <fill>
      <patternFill patternType="solid">
        <fgColor rgb="FFFFFF00"/>
        <bgColor rgb="FFFFF2CC"/>
      </patternFill>
    </fill>
    <fill>
      <patternFill patternType="solid">
        <fgColor rgb="FFFFFF00"/>
        <bgColor rgb="FFEFEFEF"/>
      </patternFill>
    </fill>
    <fill>
      <patternFill patternType="solid">
        <fgColor rgb="FFFFFF00"/>
        <bgColor rgb="FFA4C2F4"/>
      </patternFill>
    </fill>
    <fill>
      <patternFill patternType="solid">
        <fgColor rgb="FFFFFF00"/>
        <bgColor rgb="FFD9EAD3"/>
      </patternFill>
    </fill>
    <fill>
      <patternFill patternType="solid">
        <fgColor rgb="FFD9EAD3"/>
        <bgColor indexed="64"/>
      </patternFill>
    </fill>
    <fill>
      <patternFill patternType="solid">
        <fgColor rgb="FFFFF2CC"/>
        <bgColor indexed="64"/>
      </patternFill>
    </fill>
    <fill>
      <patternFill patternType="solid">
        <fgColor rgb="FFE0E9D9"/>
        <bgColor indexed="64"/>
      </patternFill>
    </fill>
    <fill>
      <patternFill patternType="solid">
        <fgColor rgb="FFF1C232"/>
        <bgColor indexed="64"/>
      </patternFill>
    </fill>
    <fill>
      <patternFill patternType="solid">
        <fgColor rgb="FFB6D7A8"/>
        <bgColor indexed="64"/>
      </patternFill>
    </fill>
    <fill>
      <patternFill patternType="solid">
        <fgColor rgb="FF9BC2E6"/>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04">
    <xf numFmtId="0" fontId="0" fillId="0" borderId="0" xfId="0"/>
    <xf numFmtId="0" fontId="1" fillId="2" borderId="0" xfId="0" applyFont="1" applyFill="1"/>
    <xf numFmtId="0" fontId="2" fillId="3" borderId="0" xfId="0" applyFont="1" applyFill="1" applyAlignment="1">
      <alignment horizontal="center" vertical="center" wrapText="1"/>
    </xf>
    <xf numFmtId="1" fontId="2" fillId="4" borderId="0" xfId="0" applyNumberFormat="1" applyFont="1" applyFill="1" applyAlignment="1">
      <alignment horizontal="center" vertical="center" wrapText="1"/>
    </xf>
    <xf numFmtId="0" fontId="2" fillId="2" borderId="0" xfId="0" applyFont="1" applyFill="1" applyAlignment="1">
      <alignment horizontal="center" vertical="center" wrapText="1"/>
    </xf>
    <xf numFmtId="0" fontId="3" fillId="3" borderId="0" xfId="0" applyFont="1" applyFill="1" applyAlignment="1">
      <alignment horizontal="center" vertical="center" wrapText="1"/>
    </xf>
    <xf numFmtId="1" fontId="2" fillId="3" borderId="0" xfId="0" applyNumberFormat="1" applyFont="1" applyFill="1" applyAlignment="1">
      <alignment horizontal="center" vertical="center" wrapText="1"/>
    </xf>
    <xf numFmtId="164" fontId="2" fillId="5" borderId="0" xfId="0" applyNumberFormat="1" applyFont="1" applyFill="1" applyAlignment="1">
      <alignment horizontal="right" vertical="center" wrapText="1"/>
    </xf>
    <xf numFmtId="165" fontId="2" fillId="3" borderId="0" xfId="0" applyNumberFormat="1" applyFont="1" applyFill="1" applyAlignment="1">
      <alignment horizontal="right" vertical="center" wrapText="1"/>
    </xf>
    <xf numFmtId="4" fontId="2" fillId="6" borderId="0" xfId="0" applyNumberFormat="1" applyFont="1" applyFill="1" applyAlignment="1">
      <alignment horizontal="center" vertical="center" wrapText="1"/>
    </xf>
    <xf numFmtId="166" fontId="2" fillId="5" borderId="0" xfId="1" applyNumberFormat="1" applyFont="1" applyFill="1" applyBorder="1" applyAlignment="1">
      <alignment horizontal="center" vertical="center" wrapText="1"/>
    </xf>
    <xf numFmtId="166" fontId="2" fillId="3" borderId="0" xfId="1" applyNumberFormat="1" applyFont="1" applyFill="1" applyBorder="1" applyAlignment="1">
      <alignment horizontal="center" vertical="center" wrapText="1"/>
    </xf>
    <xf numFmtId="0" fontId="8" fillId="3" borderId="0" xfId="0" applyFont="1" applyFill="1" applyAlignment="1">
      <alignment horizontal="center" vertical="center" wrapText="1"/>
    </xf>
    <xf numFmtId="167" fontId="9" fillId="7" borderId="0" xfId="0" applyNumberFormat="1" applyFont="1" applyFill="1" applyAlignment="1">
      <alignment horizontal="center" vertical="center" wrapText="1"/>
    </xf>
    <xf numFmtId="0" fontId="9" fillId="7" borderId="0" xfId="0" applyFont="1" applyFill="1" applyAlignment="1">
      <alignment horizontal="center" vertical="center" wrapText="1"/>
    </xf>
    <xf numFmtId="3" fontId="2" fillId="3" borderId="0" xfId="0" applyNumberFormat="1" applyFont="1" applyFill="1" applyAlignment="1">
      <alignment horizontal="center" vertical="center" wrapText="1"/>
    </xf>
    <xf numFmtId="0" fontId="10" fillId="8" borderId="0" xfId="0" applyFont="1" applyFill="1" applyAlignment="1">
      <alignment horizontal="center" vertical="center" wrapText="1"/>
    </xf>
    <xf numFmtId="0" fontId="11" fillId="8" borderId="0" xfId="0" applyFont="1" applyFill="1" applyAlignment="1">
      <alignment horizontal="center" vertical="center" wrapText="1"/>
    </xf>
    <xf numFmtId="0" fontId="12" fillId="9" borderId="0" xfId="0" applyFont="1" applyFill="1" applyAlignment="1">
      <alignment horizontal="center" vertical="center" wrapText="1"/>
    </xf>
    <xf numFmtId="0" fontId="2" fillId="10" borderId="0" xfId="0" applyFont="1" applyFill="1" applyAlignment="1">
      <alignment horizontal="center" vertical="center" wrapText="1"/>
    </xf>
    <xf numFmtId="0" fontId="11" fillId="2" borderId="0" xfId="0" applyFont="1" applyFill="1"/>
    <xf numFmtId="0" fontId="1" fillId="0" borderId="0" xfId="0" applyFont="1"/>
    <xf numFmtId="0" fontId="11" fillId="0" borderId="0" xfId="0" applyFont="1"/>
    <xf numFmtId="0" fontId="11" fillId="11" borderId="0" xfId="0" applyFont="1" applyFill="1"/>
    <xf numFmtId="0" fontId="11" fillId="12" borderId="0" xfId="0" applyFont="1" applyFill="1" applyAlignment="1">
      <alignment horizontal="center"/>
    </xf>
    <xf numFmtId="0" fontId="11" fillId="0" borderId="0" xfId="0" applyFont="1" applyAlignment="1">
      <alignment horizontal="center"/>
    </xf>
    <xf numFmtId="167" fontId="11" fillId="0" borderId="0" xfId="0" applyNumberFormat="1" applyFont="1" applyAlignment="1">
      <alignment horizontal="center"/>
    </xf>
    <xf numFmtId="0" fontId="13" fillId="0" borderId="0" xfId="0" applyFont="1"/>
    <xf numFmtId="0" fontId="11" fillId="0" borderId="0" xfId="0" applyFont="1" applyAlignment="1">
      <alignment horizontal="right"/>
    </xf>
    <xf numFmtId="168" fontId="11" fillId="0" borderId="0" xfId="0" applyNumberFormat="1" applyFont="1"/>
    <xf numFmtId="164" fontId="11" fillId="0" borderId="0" xfId="0" applyNumberFormat="1" applyFont="1" applyAlignment="1">
      <alignment horizontal="right"/>
    </xf>
    <xf numFmtId="165" fontId="11" fillId="0" borderId="0" xfId="0" applyNumberFormat="1" applyFont="1" applyAlignment="1">
      <alignment horizontal="right"/>
    </xf>
    <xf numFmtId="4" fontId="11" fillId="0" borderId="0" xfId="0" applyNumberFormat="1" applyFont="1"/>
    <xf numFmtId="166" fontId="11" fillId="0" borderId="0" xfId="1" applyNumberFormat="1" applyFont="1" applyAlignment="1">
      <alignment horizontal="right"/>
    </xf>
    <xf numFmtId="3" fontId="11" fillId="0" borderId="0" xfId="0" applyNumberFormat="1" applyFont="1" applyAlignment="1">
      <alignment horizontal="center"/>
    </xf>
    <xf numFmtId="0" fontId="1" fillId="0" borderId="0" xfId="0" applyFont="1" applyAlignment="1">
      <alignment horizontal="center"/>
    </xf>
    <xf numFmtId="0" fontId="11" fillId="12" borderId="0" xfId="0" applyFont="1" applyFill="1" applyAlignment="1">
      <alignment horizontal="center" vertical="center"/>
    </xf>
    <xf numFmtId="167" fontId="14" fillId="0" borderId="0" xfId="0" applyNumberFormat="1" applyFont="1" applyAlignment="1">
      <alignment horizontal="center" vertical="center"/>
    </xf>
    <xf numFmtId="166" fontId="14" fillId="0" borderId="0" xfId="1" applyNumberFormat="1" applyFont="1" applyAlignment="1">
      <alignment vertical="center"/>
    </xf>
    <xf numFmtId="0" fontId="14" fillId="0" borderId="0" xfId="0" applyFont="1" applyAlignment="1">
      <alignment vertical="center"/>
    </xf>
    <xf numFmtId="167" fontId="14" fillId="13" borderId="0" xfId="0" applyNumberFormat="1" applyFont="1" applyFill="1" applyAlignment="1">
      <alignment horizontal="center" vertical="center"/>
    </xf>
    <xf numFmtId="167" fontId="11" fillId="14" borderId="0" xfId="0" applyNumberFormat="1" applyFont="1" applyFill="1"/>
    <xf numFmtId="3" fontId="11" fillId="0" borderId="0" xfId="0" applyNumberFormat="1" applyFont="1"/>
    <xf numFmtId="169" fontId="11" fillId="0" borderId="0" xfId="0" applyNumberFormat="1" applyFont="1"/>
    <xf numFmtId="0" fontId="11" fillId="12" borderId="0" xfId="0" applyFont="1" applyFill="1"/>
    <xf numFmtId="167" fontId="11" fillId="11" borderId="0" xfId="0" applyNumberFormat="1" applyFont="1" applyFill="1"/>
    <xf numFmtId="168" fontId="11" fillId="11" borderId="0" xfId="0" applyNumberFormat="1" applyFont="1" applyFill="1"/>
    <xf numFmtId="0" fontId="15" fillId="15" borderId="0" xfId="0" applyFont="1" applyFill="1"/>
    <xf numFmtId="166" fontId="11" fillId="16" borderId="0" xfId="1" applyNumberFormat="1" applyFont="1" applyFill="1" applyBorder="1" applyAlignment="1"/>
    <xf numFmtId="0" fontId="11" fillId="17" borderId="0" xfId="0" applyFont="1" applyFill="1"/>
    <xf numFmtId="0" fontId="16" fillId="0" borderId="0" xfId="0" applyFont="1"/>
    <xf numFmtId="0" fontId="17" fillId="0" borderId="0" xfId="0" applyFont="1" applyAlignment="1">
      <alignment vertical="center"/>
    </xf>
    <xf numFmtId="1" fontId="11" fillId="0" borderId="0" xfId="0" applyNumberFormat="1" applyFont="1"/>
    <xf numFmtId="170" fontId="11" fillId="0" borderId="0" xfId="0" applyNumberFormat="1" applyFont="1"/>
    <xf numFmtId="167" fontId="11" fillId="18" borderId="0" xfId="0" applyNumberFormat="1" applyFont="1" applyFill="1" applyAlignment="1">
      <alignment horizontal="center" vertical="center"/>
    </xf>
    <xf numFmtId="0" fontId="11" fillId="0" borderId="0" xfId="0" applyFont="1" applyAlignment="1">
      <alignment horizontal="center" vertical="center"/>
    </xf>
    <xf numFmtId="167" fontId="11" fillId="0" borderId="0" xfId="0" applyNumberFormat="1" applyFont="1" applyAlignment="1">
      <alignment horizontal="center" vertical="center"/>
    </xf>
    <xf numFmtId="168" fontId="11" fillId="14" borderId="0" xfId="0" applyNumberFormat="1" applyFont="1" applyFill="1"/>
    <xf numFmtId="0" fontId="18" fillId="0" borderId="0" xfId="0" applyFont="1" applyAlignment="1">
      <alignment horizontal="right"/>
    </xf>
    <xf numFmtId="166" fontId="11" fillId="16" borderId="0" xfId="1" applyNumberFormat="1" applyFont="1" applyFill="1" applyBorder="1" applyAlignment="1">
      <alignment horizontal="right"/>
    </xf>
    <xf numFmtId="0" fontId="18" fillId="0" borderId="0" xfId="0" applyFont="1"/>
    <xf numFmtId="0" fontId="1" fillId="19" borderId="0" xfId="0" applyFont="1" applyFill="1"/>
    <xf numFmtId="0" fontId="11" fillId="19" borderId="0" xfId="0" applyFont="1" applyFill="1"/>
    <xf numFmtId="0" fontId="11" fillId="20" borderId="0" xfId="0" applyFont="1" applyFill="1"/>
    <xf numFmtId="0" fontId="11" fillId="21" borderId="0" xfId="0" applyFont="1" applyFill="1" applyAlignment="1">
      <alignment horizontal="center"/>
    </xf>
    <xf numFmtId="0" fontId="11" fillId="19" borderId="0" xfId="0" applyFont="1" applyFill="1" applyAlignment="1">
      <alignment horizontal="center"/>
    </xf>
    <xf numFmtId="167" fontId="11" fillId="19" borderId="0" xfId="0" applyNumberFormat="1" applyFont="1" applyFill="1" applyAlignment="1">
      <alignment horizontal="center"/>
    </xf>
    <xf numFmtId="0" fontId="13" fillId="19" borderId="0" xfId="0" applyFont="1" applyFill="1"/>
    <xf numFmtId="0" fontId="11" fillId="19" borderId="0" xfId="0" applyFont="1" applyFill="1" applyAlignment="1">
      <alignment horizontal="right"/>
    </xf>
    <xf numFmtId="168" fontId="11" fillId="19" borderId="0" xfId="0" applyNumberFormat="1" applyFont="1" applyFill="1"/>
    <xf numFmtId="164" fontId="11" fillId="19" borderId="0" xfId="0" applyNumberFormat="1" applyFont="1" applyFill="1" applyAlignment="1">
      <alignment horizontal="right"/>
    </xf>
    <xf numFmtId="165" fontId="11" fillId="19" borderId="0" xfId="0" applyNumberFormat="1" applyFont="1" applyFill="1" applyAlignment="1">
      <alignment horizontal="right"/>
    </xf>
    <xf numFmtId="4" fontId="11" fillId="19" borderId="0" xfId="0" applyNumberFormat="1" applyFont="1" applyFill="1"/>
    <xf numFmtId="166" fontId="11" fillId="19" borderId="0" xfId="1" applyNumberFormat="1" applyFont="1" applyFill="1" applyAlignment="1">
      <alignment horizontal="right"/>
    </xf>
    <xf numFmtId="3" fontId="11" fillId="19" borderId="0" xfId="0" applyNumberFormat="1" applyFont="1" applyFill="1" applyAlignment="1">
      <alignment horizontal="center"/>
    </xf>
    <xf numFmtId="0" fontId="1" fillId="19" borderId="0" xfId="0" applyFont="1" applyFill="1" applyAlignment="1">
      <alignment horizontal="center"/>
    </xf>
    <xf numFmtId="0" fontId="11" fillId="19" borderId="0" xfId="0" applyFont="1" applyFill="1" applyAlignment="1">
      <alignment horizontal="center" vertical="center"/>
    </xf>
    <xf numFmtId="167" fontId="11" fillId="19" borderId="0" xfId="0" applyNumberFormat="1" applyFont="1" applyFill="1" applyAlignment="1">
      <alignment horizontal="center" vertical="center"/>
    </xf>
    <xf numFmtId="166" fontId="14" fillId="19" borderId="0" xfId="1" applyNumberFormat="1" applyFont="1" applyFill="1" applyAlignment="1">
      <alignment vertical="center"/>
    </xf>
    <xf numFmtId="167" fontId="11" fillId="22" borderId="0" xfId="0" applyNumberFormat="1" applyFont="1" applyFill="1" applyAlignment="1">
      <alignment horizontal="center" vertical="center"/>
    </xf>
    <xf numFmtId="167" fontId="11" fillId="23" borderId="0" xfId="0" applyNumberFormat="1" applyFont="1" applyFill="1"/>
    <xf numFmtId="3" fontId="11" fillId="19" borderId="0" xfId="0" applyNumberFormat="1" applyFont="1" applyFill="1"/>
    <xf numFmtId="169" fontId="11" fillId="19" borderId="0" xfId="0" applyNumberFormat="1" applyFont="1" applyFill="1"/>
    <xf numFmtId="0" fontId="11" fillId="21" borderId="0" xfId="0" applyFont="1" applyFill="1"/>
    <xf numFmtId="167" fontId="11" fillId="20" borderId="0" xfId="0" applyNumberFormat="1" applyFont="1" applyFill="1"/>
    <xf numFmtId="168" fontId="11" fillId="20" borderId="0" xfId="0" applyNumberFormat="1" applyFont="1" applyFill="1"/>
    <xf numFmtId="0" fontId="17" fillId="19" borderId="0" xfId="0" applyFont="1" applyFill="1" applyAlignment="1">
      <alignment vertical="center"/>
    </xf>
    <xf numFmtId="1" fontId="11" fillId="19" borderId="0" xfId="0" applyNumberFormat="1" applyFont="1" applyFill="1"/>
    <xf numFmtId="170" fontId="11" fillId="19" borderId="0" xfId="0" applyNumberFormat="1" applyFont="1" applyFill="1"/>
    <xf numFmtId="167" fontId="11" fillId="24" borderId="0" xfId="0" applyNumberFormat="1" applyFont="1" applyFill="1"/>
    <xf numFmtId="167" fontId="1" fillId="0" borderId="0" xfId="0" applyNumberFormat="1" applyFont="1" applyAlignment="1">
      <alignment horizontal="center"/>
    </xf>
    <xf numFmtId="0" fontId="19" fillId="0" borderId="0" xfId="0" applyFont="1"/>
    <xf numFmtId="165" fontId="1" fillId="0" borderId="0" xfId="0" applyNumberFormat="1" applyFont="1" applyAlignment="1">
      <alignment horizontal="right"/>
    </xf>
    <xf numFmtId="166" fontId="1" fillId="0" borderId="0" xfId="1" applyNumberFormat="1" applyFont="1" applyAlignment="1"/>
    <xf numFmtId="167" fontId="1" fillId="13" borderId="0" xfId="0" applyNumberFormat="1" applyFont="1" applyFill="1" applyAlignment="1">
      <alignment horizontal="center" vertical="center"/>
    </xf>
    <xf numFmtId="167" fontId="1" fillId="24" borderId="0" xfId="0" applyNumberFormat="1" applyFont="1" applyFill="1"/>
    <xf numFmtId="167" fontId="1" fillId="25" borderId="0" xfId="0" applyNumberFormat="1" applyFont="1" applyFill="1"/>
    <xf numFmtId="0" fontId="1" fillId="25" borderId="0" xfId="0" applyFont="1" applyFill="1"/>
    <xf numFmtId="0" fontId="1" fillId="26" borderId="0" xfId="0" applyFont="1" applyFill="1"/>
    <xf numFmtId="166" fontId="1" fillId="27" borderId="0" xfId="1" applyNumberFormat="1" applyFont="1" applyFill="1" applyAlignment="1"/>
    <xf numFmtId="0" fontId="1" fillId="28" borderId="0" xfId="0" applyFont="1" applyFill="1"/>
    <xf numFmtId="168" fontId="1" fillId="24" borderId="0" xfId="0" applyNumberFormat="1" applyFont="1" applyFill="1"/>
    <xf numFmtId="164" fontId="1" fillId="0" borderId="0" xfId="0" applyNumberFormat="1" applyFont="1" applyAlignment="1">
      <alignment horizontal="right"/>
    </xf>
    <xf numFmtId="0" fontId="1" fillId="29" borderId="0" xfId="0" applyFont="1" applyFill="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DD2022-DTAM-V4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D"/>
      <sheetName val="bdd_contratistas"/>
      <sheetName val="BDJAM"/>
      <sheetName val="Hoja1"/>
      <sheetName val="CPS"/>
      <sheetName val="SECOPII"/>
      <sheetName val="contratistas-2021"/>
      <sheetName val="PAGOS"/>
      <sheetName val="1. FONAM"/>
      <sheetName val="PAGOS-FONAM"/>
      <sheetName val="opciones"/>
      <sheetName val="CONVENIOS"/>
      <sheetName val="PAGOS-CONV"/>
    </sheetNames>
    <sheetDataSet>
      <sheetData sheetId="0"/>
      <sheetData sheetId="1"/>
      <sheetData sheetId="2"/>
      <sheetData sheetId="3"/>
      <sheetData sheetId="4">
        <row r="1">
          <cell r="A1" t="str">
            <v>ID</v>
          </cell>
          <cell r="B1" t="str">
            <v>ABOGADO(A)</v>
          </cell>
          <cell r="C1" t="str">
            <v>N° CONTRATO</v>
          </cell>
          <cell r="D1" t="str">
            <v>NOMBRE DEL CONTRATISTA</v>
          </cell>
          <cell r="E1" t="str">
            <v xml:space="preserve">IDENTIFICACION </v>
          </cell>
          <cell r="F1" t="str">
            <v>CONSECUTIVO PLAN DE ACCION</v>
          </cell>
          <cell r="G1" t="str">
            <v>CODIGO PLAN ANUAL DE ADQUISICIONES</v>
          </cell>
          <cell r="H1" t="str">
            <v>RECURSO</v>
          </cell>
          <cell r="I1" t="str">
            <v>OBJETO COMPLETO (IGUAL AL EP Y AL CONTRATO)</v>
          </cell>
          <cell r="J1" t="str">
            <v>FECHA DE REVISION HOJA DE VIDA SIGEP</v>
          </cell>
          <cell r="K1" t="str">
            <v>PLAZO DE EJECUCIÓN</v>
          </cell>
          <cell r="L1" t="str">
            <v>VALOR TOTAL</v>
          </cell>
          <cell r="M1" t="str">
            <v>VALOR MENSUAL</v>
          </cell>
          <cell r="N1" t="str">
            <v>DEPENDENCIA</v>
          </cell>
          <cell r="O1" t="str">
            <v>REQUIERE POLIZA SI/NO</v>
          </cell>
          <cell r="P1" t="str">
            <v>No. DE CDP</v>
          </cell>
          <cell r="Q1" t="str">
            <v>MEMORANDO SOLICITUD RP</v>
          </cell>
          <cell r="R1" t="str">
            <v>No. REG P/TAL</v>
          </cell>
          <cell r="S1" t="str">
            <v>FECHA RP</v>
          </cell>
          <cell r="T1" t="str">
            <v>NÚMERO USO PRESUPUESTAL (USO P/TAL)</v>
          </cell>
          <cell r="U1" t="str">
            <v>DESCRIPCIÓN (TÍTULO)</v>
          </cell>
          <cell r="V1" t="str">
            <v>ACTIVIDAD ECONÓMICA - RUT</v>
          </cell>
          <cell r="W1" t="str">
            <v>NUMERO DE AFILIACION ARL</v>
          </cell>
          <cell r="X1" t="str">
            <v>NUMERO DE RETIRO ARL</v>
          </cell>
          <cell r="Y1" t="str">
            <v>FECHA DE INICIO-25</v>
          </cell>
          <cell r="Z1" t="str">
            <v>FECHA DE FINALIZACIÓN-26</v>
          </cell>
          <cell r="AA1" t="str">
            <v>CORREO NOTIFICACION</v>
          </cell>
          <cell r="AB1" t="str">
            <v xml:space="preserve"> NO. POLIZA</v>
          </cell>
          <cell r="AC1" t="str">
            <v>SUPERVISOR</v>
          </cell>
          <cell r="AD1" t="str">
            <v>VALOR ADICION</v>
          </cell>
          <cell r="AE1" t="str">
            <v xml:space="preserve">FECHA ADICION </v>
          </cell>
          <cell r="AF1" t="str">
            <v>LUGAR DE EJECUCIÓN</v>
          </cell>
          <cell r="AG1" t="str">
            <v>LINK DEL CONTRATO</v>
          </cell>
          <cell r="AH1" t="str">
            <v>DIAS</v>
          </cell>
          <cell r="AI1" t="str">
            <v>POLIZA-35</v>
          </cell>
          <cell r="AJ1" t="str">
            <v>DEPEN-36</v>
          </cell>
          <cell r="AK1" t="str">
            <v>ASEGURADORA-37</v>
          </cell>
          <cell r="AL1" t="str">
            <v>FECHA POLIZA-38</v>
          </cell>
          <cell r="AM1" t="str">
            <v>NUM POLIZA-39</v>
          </cell>
          <cell r="AN1" t="str">
            <v>FECHA APROBACION POLIZA-40</v>
          </cell>
          <cell r="AO1" t="str">
            <v>CC SUPERVISOR-41</v>
          </cell>
          <cell r="AP1" t="str">
            <v>LINK PROCESO-42</v>
          </cell>
          <cell r="AQ1" t="str">
            <v>SUSCRIPCION-43</v>
          </cell>
          <cell r="AR1" t="str">
            <v>FECHA ARL-44</v>
          </cell>
          <cell r="AS1" t="str">
            <v>FORMULARIO ARL-45</v>
          </cell>
          <cell r="AT1" t="str">
            <v>SUBPROGRAMA-46</v>
          </cell>
          <cell r="AU1" t="str">
            <v>CARGO-47</v>
          </cell>
        </row>
        <row r="2">
          <cell r="A2">
            <v>1</v>
          </cell>
          <cell r="B2" t="str">
            <v>MARIA ALEJANDRA SANCHEZ RIVERA</v>
          </cell>
          <cell r="C2" t="str">
            <v>CD-DTAM NACION-CPS No. 001 - 2022</v>
          </cell>
          <cell r="D2" t="str">
            <v>LAURA CAROLINA CORREA RAMIREZ</v>
          </cell>
          <cell r="E2">
            <v>1010213553</v>
          </cell>
          <cell r="F2">
            <v>21029</v>
          </cell>
          <cell r="G2">
            <v>80111701</v>
          </cell>
          <cell r="H2" t="str">
            <v>11</v>
          </cell>
          <cell r="I2" t="str">
            <v xml:space="preserve">Prestación de servicios profesionales y de apoyo a la gestion para adelantar diversos procedimientos  legales  relacionados con tramites precontractuales, contractuales y poscontractuales a través de las plataformas sipuestas por  el Gobierno Nacional, asi como apoyo en  la elaboración de notificaciones  en los procesos sancionatorios  ambientales  de la Dirección Territorial Amazonia de Parques Nacionales Naturales de Colombia. </v>
          </cell>
          <cell r="J2">
            <v>44572</v>
          </cell>
          <cell r="K2" t="str">
            <v>11 meses</v>
          </cell>
          <cell r="L2">
            <v>56100000</v>
          </cell>
          <cell r="M2">
            <v>5100000</v>
          </cell>
          <cell r="N2" t="str">
            <v>DTAM</v>
          </cell>
          <cell r="O2" t="str">
            <v>SI</v>
          </cell>
          <cell r="P2">
            <v>2822</v>
          </cell>
          <cell r="Q2">
            <v>20225000000093</v>
          </cell>
          <cell r="R2">
            <v>2622</v>
          </cell>
          <cell r="S2">
            <v>44574</v>
          </cell>
          <cell r="T2" t="str">
            <v>C-3299-0900-2-0-3299060-02</v>
          </cell>
          <cell r="Y2">
            <v>44209</v>
          </cell>
          <cell r="Z2">
            <v>44907</v>
          </cell>
          <cell r="AB2" t="str">
            <v>14-44-101144036</v>
          </cell>
          <cell r="AC2" t="str">
            <v>DIANA CAROLINA GOMEZ RODRIGUEZ</v>
          </cell>
          <cell r="AF2" t="str">
            <v>BOGOTA</v>
          </cell>
          <cell r="AG2" t="str">
            <v>https://community.secop.gov.co/Public/Tendering/ContractNoticePhases/View?PPI=CO1.PPI.16636146&amp;isFromPublicArea=True&amp;isModal=False</v>
          </cell>
          <cell r="AH2">
            <v>330</v>
          </cell>
          <cell r="AI2" t="str">
            <v>1 PÓLIZA</v>
          </cell>
          <cell r="AJ2" t="str">
            <v>Dirección Territorial Amazonía</v>
          </cell>
          <cell r="AK2" t="str">
            <v>12 SEGUROS DEL ESTADO</v>
          </cell>
          <cell r="AL2">
            <v>44574</v>
          </cell>
          <cell r="AM2" t="str">
            <v>14-44-101144036</v>
          </cell>
          <cell r="AN2">
            <v>44574</v>
          </cell>
          <cell r="AO2">
            <v>24344682</v>
          </cell>
          <cell r="AP2" t="str">
            <v>https://www.secop.gov.co/CO1ContractsManagement/Tendering/ProcurementContractEdit/View?docUniqueIdentifier=CO1.PCCNTR.3216714</v>
          </cell>
          <cell r="AQ2">
            <v>44573</v>
          </cell>
          <cell r="AR2">
            <v>44574</v>
          </cell>
          <cell r="AS2">
            <v>301021706</v>
          </cell>
          <cell r="AT2" t="str">
            <v>FORTALECIMIENTO</v>
          </cell>
        </row>
        <row r="3">
          <cell r="A3">
            <v>2</v>
          </cell>
          <cell r="B3" t="str">
            <v>NORYLY AGUIRRE OTALORA</v>
          </cell>
          <cell r="C3" t="str">
            <v>CD-DTAM NACION-CPS No. 002 - 2022</v>
          </cell>
          <cell r="D3" t="str">
            <v>ANDRES CAMILO LOPEZ ROZO</v>
          </cell>
          <cell r="E3">
            <v>80853037</v>
          </cell>
          <cell r="F3">
            <v>21029</v>
          </cell>
          <cell r="G3">
            <v>80111701</v>
          </cell>
          <cell r="H3" t="str">
            <v>11</v>
          </cell>
          <cell r="I3" t="str">
            <v>Prestar servicios profesionales en la Dirección Territorial Amazonia de Parques Nacionales Naturales de Colombia, como ingeniero de sistemas para brindar el soporte requerido en la infraestructura tecnológica (física y lógica) a la red, aplicativos del estado y de la entidad, administración de servidores, equipos de cómputo y todo elemento tecnológico, así como el apoyo a las diferentes contrataciones y supervisiones requeridas aplicando la normatividad vigente y los lineamientos de la Entidad</v>
          </cell>
          <cell r="J3">
            <v>44573</v>
          </cell>
          <cell r="K3" t="str">
            <v>11 meses 14 días</v>
          </cell>
          <cell r="L3">
            <v>58480000</v>
          </cell>
          <cell r="M3">
            <v>5100000</v>
          </cell>
          <cell r="N3" t="str">
            <v>DTAM</v>
          </cell>
          <cell r="O3" t="str">
            <v>SI</v>
          </cell>
          <cell r="P3">
            <v>2922</v>
          </cell>
          <cell r="Q3">
            <v>20225000000103</v>
          </cell>
          <cell r="R3">
            <v>2722</v>
          </cell>
          <cell r="S3">
            <v>44574</v>
          </cell>
          <cell r="T3" t="str">
            <v>C-3299-0900-2-0-3299060-02</v>
          </cell>
          <cell r="V3">
            <v>8299</v>
          </cell>
          <cell r="W3">
            <v>301021695</v>
          </cell>
          <cell r="Y3">
            <v>44908</v>
          </cell>
          <cell r="Z3">
            <v>44921</v>
          </cell>
          <cell r="AB3" t="str">
            <v>21-44-101372904</v>
          </cell>
          <cell r="AC3" t="str">
            <v>CLAUDIA OFELIA MANRIQUE ROA</v>
          </cell>
          <cell r="AF3" t="str">
            <v>BOGOTA</v>
          </cell>
          <cell r="AG3" t="str">
            <v>https://community.secop.gov.co/Public/Tendering/ContractNoticePhases/View?PPI=CO1.PPI.16663042&amp;isFromPublicArea=True&amp;isModal=False</v>
          </cell>
          <cell r="AH3">
            <v>344</v>
          </cell>
          <cell r="AI3" t="str">
            <v>1 PÓLIZA</v>
          </cell>
          <cell r="AJ3" t="str">
            <v>Dirección Territorial Amazonía</v>
          </cell>
          <cell r="AK3" t="str">
            <v>12 SEGUROS DEL ESTADO</v>
          </cell>
          <cell r="AL3">
            <v>44574</v>
          </cell>
          <cell r="AM3" t="str">
            <v>21-44-101372904</v>
          </cell>
          <cell r="AN3">
            <v>44574</v>
          </cell>
          <cell r="AO3">
            <v>41674698</v>
          </cell>
          <cell r="AP3" t="str">
            <v>https://www.secop.gov.co/CO1ContractsManagement/Tendering/ProcurementContractEdit/View?docUniqueIdentifier=CO1.PCCNTR.3211035</v>
          </cell>
          <cell r="AQ3">
            <v>44573</v>
          </cell>
          <cell r="AR3">
            <v>44574</v>
          </cell>
          <cell r="AS3">
            <v>301021695</v>
          </cell>
          <cell r="AT3" t="str">
            <v>FORTALECIMIENTO</v>
          </cell>
        </row>
        <row r="4">
          <cell r="A4">
            <v>3</v>
          </cell>
          <cell r="B4" t="str">
            <v>NORYLY AGUIRRE OTALORA</v>
          </cell>
          <cell r="C4" t="str">
            <v>CD-DTAM NACION-CPS No. 003 - 2022</v>
          </cell>
          <cell r="D4" t="str">
            <v>SANDRA LILIANA RONCANCIO AVENDAÑO</v>
          </cell>
          <cell r="E4">
            <v>52931785</v>
          </cell>
          <cell r="F4">
            <v>21030</v>
          </cell>
          <cell r="G4">
            <v>80111701</v>
          </cell>
          <cell r="H4" t="str">
            <v>11</v>
          </cell>
          <cell r="I4" t="str">
            <v>Prestación de servicios técnicos y apoyo en el proceso de gestión documental y el centro de documentación bajo la plataforma OpenKM, de acuerdo a los lineamientos del Nivel Central; Así mismo apoyar a la oficina del director territorial en administración y seguimiento de la agenda, el correo electrónico, ORFEO, SECOP II y Tienda Virtual y   seguimiento a las PQRs recibidas y tramitadas en la Dirección Territorial Amazonía.</v>
          </cell>
          <cell r="J4">
            <v>44574</v>
          </cell>
          <cell r="K4" t="str">
            <v>11 meses 15 dias</v>
          </cell>
          <cell r="L4">
            <v>32338000</v>
          </cell>
          <cell r="M4">
            <v>2812000</v>
          </cell>
          <cell r="N4" t="str">
            <v>DTAM</v>
          </cell>
          <cell r="O4" t="str">
            <v>NO</v>
          </cell>
          <cell r="P4">
            <v>3022</v>
          </cell>
          <cell r="Q4">
            <v>20225000000113</v>
          </cell>
          <cell r="R4">
            <v>2822</v>
          </cell>
          <cell r="S4">
            <v>44574</v>
          </cell>
          <cell r="T4" t="str">
            <v>C-3299-0900-2-0-3299060-02</v>
          </cell>
          <cell r="V4">
            <v>9101</v>
          </cell>
          <cell r="W4">
            <v>301021713</v>
          </cell>
          <cell r="Y4">
            <v>44908</v>
          </cell>
          <cell r="Z4">
            <v>44922</v>
          </cell>
          <cell r="AB4" t="str">
            <v>NA</v>
          </cell>
          <cell r="AC4" t="str">
            <v>CLAUDIA OFELIA MANRIQUE ROA</v>
          </cell>
          <cell r="AF4" t="str">
            <v>BOGOTA</v>
          </cell>
          <cell r="AG4" t="str">
            <v>https://community.secop.gov.co/Public/Tendering/ContractNoticePhases/View?PPI=CO1.PPI.16704641&amp;isFromPublicArea=True&amp;isModal=False</v>
          </cell>
          <cell r="AH4">
            <v>345</v>
          </cell>
          <cell r="AI4" t="str">
            <v>6 NO CONSTITUYÓ GARANTÍAS</v>
          </cell>
          <cell r="AJ4" t="str">
            <v>Dirección Territorial Amazonía</v>
          </cell>
          <cell r="AK4" t="str">
            <v>N/A</v>
          </cell>
          <cell r="AL4" t="str">
            <v>N/A</v>
          </cell>
          <cell r="AM4" t="str">
            <v>N/A</v>
          </cell>
          <cell r="AN4" t="str">
            <v>N/A</v>
          </cell>
          <cell r="AO4">
            <v>41674698</v>
          </cell>
          <cell r="AP4" t="str">
            <v>https://www.secop.gov.co/CO1ContractsManagement/Tendering/ProcurementContractEdit/View?docUniqueIdentifier=CO1.PCCNTR.3226499</v>
          </cell>
          <cell r="AQ4">
            <v>44574</v>
          </cell>
          <cell r="AR4">
            <v>44574</v>
          </cell>
          <cell r="AS4">
            <v>301021713</v>
          </cell>
          <cell r="AT4" t="str">
            <v>FORTALECIMIENTO</v>
          </cell>
        </row>
        <row r="5">
          <cell r="A5">
            <v>4</v>
          </cell>
          <cell r="B5" t="str">
            <v>MARIA ALEJANDRA SANCHEZ RIVERA</v>
          </cell>
          <cell r="C5" t="str">
            <v>CD-DTAM NACION-CPS No. 004 - 2022</v>
          </cell>
          <cell r="D5" t="str">
            <v>RAFAEL RODRIGO RODRIGUEZ SANCHEZ</v>
          </cell>
          <cell r="E5">
            <v>18261541</v>
          </cell>
          <cell r="F5">
            <v>21028</v>
          </cell>
          <cell r="G5">
            <v>80111701</v>
          </cell>
          <cell r="H5" t="str">
            <v>11</v>
          </cell>
          <cell r="I5" t="str">
            <v>Prestar servicios profesionales en la Dirección Territorial Amazonia de Parques Nacionales Naturales de Colombia, para realizar el seguimiento a todo lo relaciona do con el Sistema de Gestión de Calidad, aplicando la Ley 1753 de 2015., Decreto 1083 de 2015, Decreto 1499 de 2017, Norma Técnica de Calidad ISO 9001:2015 aplicando la normatividad vigente y los lineamientos de la Entidad</v>
          </cell>
          <cell r="J5">
            <v>44573</v>
          </cell>
          <cell r="K5" t="str">
            <v>8 Meses  29 dias</v>
          </cell>
          <cell r="L5">
            <v>45730000</v>
          </cell>
          <cell r="M5">
            <v>5100000</v>
          </cell>
          <cell r="N5" t="str">
            <v>DTAM</v>
          </cell>
          <cell r="O5" t="str">
            <v>SI</v>
          </cell>
          <cell r="P5">
            <v>2622</v>
          </cell>
          <cell r="Q5">
            <v>20225000000063</v>
          </cell>
          <cell r="R5">
            <v>3022</v>
          </cell>
          <cell r="S5">
            <v>44575</v>
          </cell>
          <cell r="T5" t="str">
            <v>C-3299-0900-2-0-3299054-02</v>
          </cell>
          <cell r="Y5">
            <v>44575</v>
          </cell>
          <cell r="Z5">
            <v>44816</v>
          </cell>
          <cell r="AA5" t="str">
            <v>rodrigorodriguezsa@gmail.com</v>
          </cell>
          <cell r="AB5" t="str">
            <v>14-14-101144311</v>
          </cell>
          <cell r="AC5" t="str">
            <v>NANCY ESPERANZA RIVERA VEGA</v>
          </cell>
          <cell r="AF5" t="str">
            <v>BOGOTA</v>
          </cell>
          <cell r="AG5" t="str">
            <v>https://community.secop.gov.co/Public/Tendering/ContractNoticePhases/View?PPI=CO1.PPI.16712960&amp;isFromPublicArea=True&amp;isModal=False</v>
          </cell>
          <cell r="AH5">
            <v>269</v>
          </cell>
          <cell r="AI5" t="str">
            <v>1 PÓLIZA</v>
          </cell>
          <cell r="AJ5" t="str">
            <v>Dirección Territorial Amazonía</v>
          </cell>
          <cell r="AK5" t="str">
            <v>12 SEGUROS DEL ESTADO</v>
          </cell>
          <cell r="AL5">
            <v>44575</v>
          </cell>
          <cell r="AM5" t="str">
            <v>14-44-101144311</v>
          </cell>
          <cell r="AN5">
            <v>44575</v>
          </cell>
          <cell r="AO5">
            <v>91297841</v>
          </cell>
          <cell r="AP5" t="str">
            <v>https://www.secop.gov.co/CO1ContractsManagement/Tendering/ProcurementContractEdit/View?docUniqueIdentifier=CO1.PCCNTR.3232509</v>
          </cell>
          <cell r="AQ5">
            <v>44575</v>
          </cell>
          <cell r="AR5">
            <v>44575</v>
          </cell>
          <cell r="AS5">
            <v>301023653</v>
          </cell>
          <cell r="AT5" t="str">
            <v>FORTALECIMIENTO</v>
          </cell>
        </row>
        <row r="6">
          <cell r="A6">
            <v>5</v>
          </cell>
          <cell r="B6" t="str">
            <v>LAURA CAROLINA CORREA RAMIREZ</v>
          </cell>
          <cell r="C6" t="str">
            <v>CD-DTAM NACION-CPS No. 005 - 2022</v>
          </cell>
          <cell r="D6" t="str">
            <v>JUAN CARLOS MUNAR FERNANDEZ</v>
          </cell>
          <cell r="E6">
            <v>79187416</v>
          </cell>
          <cell r="F6">
            <v>21007</v>
          </cell>
          <cell r="G6">
            <v>80111701</v>
          </cell>
          <cell r="H6" t="str">
            <v>11</v>
          </cell>
          <cell r="I6" t="str">
            <v>Prestación de servicios profesionales en el área jurídica para brindar orientación y acompañamiento para el desarrollo de la gestión de las diferentes líneas temáticas de la Dirección Territorial Amazonía y sus Áreas Adscritas y la aplicación de Procesos Sancionatorios Administrativos Ambientales conforme a la normativa existente.</v>
          </cell>
          <cell r="J6">
            <v>44574</v>
          </cell>
          <cell r="K6" t="str">
            <v>11 meses</v>
          </cell>
          <cell r="L6">
            <v>62681219.590000004</v>
          </cell>
          <cell r="M6">
            <v>5700000</v>
          </cell>
          <cell r="N6" t="str">
            <v>DTAM</v>
          </cell>
          <cell r="O6" t="str">
            <v>SI</v>
          </cell>
          <cell r="P6">
            <v>2722</v>
          </cell>
          <cell r="Q6">
            <v>20225000000083</v>
          </cell>
          <cell r="R6">
            <v>2922</v>
          </cell>
          <cell r="S6">
            <v>44575</v>
          </cell>
          <cell r="T6" t="str">
            <v>C-3202-0900-4-0-3202032-02</v>
          </cell>
          <cell r="Y6">
            <v>44575</v>
          </cell>
          <cell r="Z6">
            <v>44909</v>
          </cell>
          <cell r="AB6" t="str">
            <v>11-46-101024524</v>
          </cell>
          <cell r="AC6" t="str">
            <v>NANCY ESPERANZA RIVERA VEGA</v>
          </cell>
          <cell r="AF6" t="str">
            <v xml:space="preserve">BOGOTÁ </v>
          </cell>
          <cell r="AG6" t="str">
            <v>https://community.secop.gov.co/Public/Tendering/OpportunityDetail/Index?noticeUID=CO1.NTC.2548923&amp;isFromPublicArea=True&amp;isModal=False</v>
          </cell>
          <cell r="AH6">
            <v>330</v>
          </cell>
          <cell r="AI6" t="str">
            <v>1 PÓLIZA</v>
          </cell>
          <cell r="AJ6" t="str">
            <v>Dirección Territorial Amazonía</v>
          </cell>
          <cell r="AK6" t="str">
            <v>12 SEGUROS DEL ESTADO</v>
          </cell>
          <cell r="AL6">
            <v>44575</v>
          </cell>
          <cell r="AM6" t="str">
            <v>11-46-101024524</v>
          </cell>
          <cell r="AN6">
            <v>44575</v>
          </cell>
          <cell r="AO6">
            <v>91297841</v>
          </cell>
          <cell r="AP6" t="str">
            <v>https://www.secop.gov.co/CO1ContractsManagement/Tendering/ProcurementContractEdit/View?docUniqueIdentifier=CO1.PCCNTR.3228502</v>
          </cell>
          <cell r="AQ6">
            <v>44574</v>
          </cell>
          <cell r="AR6">
            <v>44575</v>
          </cell>
          <cell r="AS6">
            <v>301023588</v>
          </cell>
          <cell r="AT6" t="str">
            <v>ADMINISTRACION</v>
          </cell>
        </row>
        <row r="7">
          <cell r="A7">
            <v>6</v>
          </cell>
          <cell r="B7" t="str">
            <v>LAURA CAROLINA CORREA RAMIREZ</v>
          </cell>
          <cell r="C7" t="str">
            <v>CD-DTAM NACION-CPS No. 006 - 2022</v>
          </cell>
          <cell r="D7" t="str">
            <v>ROSA CECILIA REINOSO SABOGAL</v>
          </cell>
          <cell r="E7">
            <v>65631263</v>
          </cell>
          <cell r="F7">
            <v>23026</v>
          </cell>
          <cell r="G7">
            <v>80111701</v>
          </cell>
          <cell r="H7" t="str">
            <v>11</v>
          </cell>
          <cell r="I7" t="str">
            <v>Prestar Servicios Técnicos y de apoyo a la gestión para desarrollar actividades administrativas, de ejecución presupuestal, manejo de inventarios y de soporte a los mecanismos de planeación, evaluación, seguimiento y Sistema Integrado de Gestión del Parque Nacional Natural Amacayacu.</v>
          </cell>
          <cell r="J7">
            <v>44575</v>
          </cell>
          <cell r="K7" t="str">
            <v>11 meses</v>
          </cell>
          <cell r="L7">
            <v>30932000</v>
          </cell>
          <cell r="M7">
            <v>2812000</v>
          </cell>
          <cell r="N7" t="str">
            <v>PNN AMACAYACU</v>
          </cell>
          <cell r="O7" t="str">
            <v>NO</v>
          </cell>
          <cell r="P7">
            <v>3722</v>
          </cell>
          <cell r="Q7">
            <v>20225000000243</v>
          </cell>
          <cell r="R7">
            <v>3422</v>
          </cell>
          <cell r="S7">
            <v>44578</v>
          </cell>
          <cell r="T7" t="str">
            <v>C-3299-0900-2-0-3299060-02</v>
          </cell>
          <cell r="Y7">
            <v>44578</v>
          </cell>
          <cell r="Z7">
            <v>44912</v>
          </cell>
          <cell r="AB7" t="str">
            <v>NA</v>
          </cell>
          <cell r="AC7" t="str">
            <v>ELIANA MARTINEZ RUEDA</v>
          </cell>
          <cell r="AF7" t="str">
            <v>LETICIA</v>
          </cell>
          <cell r="AG7" t="str">
            <v>https://community.secop.gov.co/Public/Tendering/OpportunityDetail/Index?noticeUID=CO1.NTC.2558284&amp;isFromPublicArea=True&amp;isModal=False</v>
          </cell>
          <cell r="AH7">
            <v>330</v>
          </cell>
          <cell r="AI7" t="str">
            <v>6 NO CONSTITUYÓ GARANTÍAS</v>
          </cell>
          <cell r="AJ7" t="str">
            <v>PNN Amacayacu</v>
          </cell>
          <cell r="AK7" t="str">
            <v>N/A</v>
          </cell>
          <cell r="AL7" t="str">
            <v>N/A</v>
          </cell>
          <cell r="AM7" t="str">
            <v>N/A</v>
          </cell>
          <cell r="AN7" t="str">
            <v>N/A</v>
          </cell>
          <cell r="AO7">
            <v>51935320</v>
          </cell>
          <cell r="AP7" t="str">
            <v>https://www.secop.gov.co/CO1ContractsManagement/Tendering/ProcurementContractEdit/View?docUniqueIdentifier=CO1.PCCNTR.3238786</v>
          </cell>
          <cell r="AQ7">
            <v>44575</v>
          </cell>
          <cell r="AR7">
            <v>44578</v>
          </cell>
          <cell r="AS7">
            <v>301028896</v>
          </cell>
          <cell r="AT7" t="str">
            <v>ADMINISTRACION</v>
          </cell>
        </row>
        <row r="8">
          <cell r="A8">
            <v>7</v>
          </cell>
          <cell r="B8" t="str">
            <v>NORYLY AGUIRRE OTALORA</v>
          </cell>
          <cell r="C8" t="str">
            <v>CD-DTAM NACION-CPS No. 007 - 2022</v>
          </cell>
          <cell r="D8" t="str">
            <v>DIANA MAGALI ZAPATA GIL</v>
          </cell>
          <cell r="E8">
            <v>41058861</v>
          </cell>
          <cell r="F8">
            <v>26018</v>
          </cell>
          <cell r="G8">
            <v>80111701</v>
          </cell>
          <cell r="H8" t="str">
            <v>11</v>
          </cell>
          <cell r="I8" t="str">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v>
          </cell>
          <cell r="J8">
            <v>44575</v>
          </cell>
          <cell r="K8" t="str">
            <v>11 meses</v>
          </cell>
          <cell r="L8">
            <v>30932000</v>
          </cell>
          <cell r="M8">
            <v>2812000</v>
          </cell>
          <cell r="N8" t="str">
            <v>PNN RIO PURE</v>
          </cell>
          <cell r="O8" t="str">
            <v>NO</v>
          </cell>
          <cell r="P8">
            <v>3622</v>
          </cell>
          <cell r="Q8">
            <v>20225130000183</v>
          </cell>
          <cell r="R8">
            <v>3122</v>
          </cell>
          <cell r="S8">
            <v>44575</v>
          </cell>
          <cell r="T8" t="str">
            <v>C-3299-0900-2-0-3299060-02</v>
          </cell>
          <cell r="V8">
            <v>6399</v>
          </cell>
          <cell r="W8">
            <v>301023615</v>
          </cell>
          <cell r="Y8">
            <v>44575</v>
          </cell>
          <cell r="Z8">
            <v>44908</v>
          </cell>
          <cell r="AB8" t="str">
            <v>NA</v>
          </cell>
          <cell r="AC8" t="str">
            <v>ALEXANDER ALFONSO SEGURA</v>
          </cell>
          <cell r="AF8" t="str">
            <v>LETICIA</v>
          </cell>
          <cell r="AG8" t="str">
            <v>https://community.secop.gov.co/Public/Tendering/ContractNoticePhases/View?PPI=CO1.PPI.16724336&amp;isFromPublicArea=True&amp;isModal=False</v>
          </cell>
          <cell r="AH8">
            <v>330</v>
          </cell>
          <cell r="AI8" t="str">
            <v>6 NO CONSTITUYÓ GARANTÍAS</v>
          </cell>
          <cell r="AJ8" t="str">
            <v>PNN Río Puré</v>
          </cell>
          <cell r="AK8" t="str">
            <v>N/A</v>
          </cell>
          <cell r="AL8" t="str">
            <v>N/A</v>
          </cell>
          <cell r="AM8" t="str">
            <v>N/A</v>
          </cell>
          <cell r="AN8" t="str">
            <v>N/A</v>
          </cell>
          <cell r="AO8">
            <v>79672176</v>
          </cell>
          <cell r="AP8" t="str">
            <v>https://www.secop.gov.co/CO1ContractsManagement/Tendering/ProcurementContractEdit/View?docUniqueIdentifier=CO1.PCCNTR.323566</v>
          </cell>
          <cell r="AQ8">
            <v>44575</v>
          </cell>
          <cell r="AR8">
            <v>44575</v>
          </cell>
          <cell r="AS8">
            <v>301023615</v>
          </cell>
          <cell r="AT8" t="str">
            <v>FORTALECIMIENTO</v>
          </cell>
        </row>
        <row r="9">
          <cell r="A9">
            <v>8</v>
          </cell>
          <cell r="B9" t="str">
            <v>MARIA ALEJANDRA SANCHEZ RIVERA</v>
          </cell>
          <cell r="C9" t="str">
            <v>CD-DTAM NACION-CPS No. 008 - 2022</v>
          </cell>
          <cell r="D9" t="str">
            <v>LUZ MARINA  VELANDIA VARGAS</v>
          </cell>
          <cell r="E9">
            <v>41214147</v>
          </cell>
          <cell r="F9">
            <v>30017</v>
          </cell>
          <cell r="G9">
            <v>80111701</v>
          </cell>
          <cell r="H9" t="str">
            <v>11</v>
          </cell>
          <cell r="I9" t="str">
            <v>Prestación de servicios operativos y de apoyo a la gestión, para desarrollar las actividades enmarcadas dentro de los procesos de apoyo de Parques Nacionales Naturales, específicamente para la RNN Nukak, y el PNN Serranía de Chiribiquete de la Dirección Territorial Amazonia.</v>
          </cell>
          <cell r="J9">
            <v>44576</v>
          </cell>
          <cell r="K9" t="str">
            <v>11 meses</v>
          </cell>
          <cell r="L9">
            <v>15532000</v>
          </cell>
          <cell r="M9">
            <v>1412000</v>
          </cell>
          <cell r="N9" t="str">
            <v>PNN NUKAK</v>
          </cell>
          <cell r="O9" t="str">
            <v>NO</v>
          </cell>
          <cell r="P9">
            <v>3922</v>
          </cell>
          <cell r="Q9">
            <v>20225240000443</v>
          </cell>
          <cell r="R9">
            <v>4022</v>
          </cell>
          <cell r="S9">
            <v>44579</v>
          </cell>
          <cell r="T9" t="str">
            <v>C-3299-0900-2-0-3299060-02</v>
          </cell>
          <cell r="Y9">
            <v>44578</v>
          </cell>
          <cell r="Z9">
            <v>44912</v>
          </cell>
          <cell r="AB9" t="str">
            <v>NA</v>
          </cell>
          <cell r="AC9" t="str">
            <v>VICTOR SETINA</v>
          </cell>
          <cell r="AF9" t="str">
            <v>SAN JOSE DEL GUAVIARE</v>
          </cell>
          <cell r="AG9" t="str">
            <v>https://community.secop.gov.co/Public/Tendering/ContractNoticePhases/View?PPI=CO1.PPI.16768204&amp;isFromPublicArea=True&amp;isModal=False</v>
          </cell>
          <cell r="AH9">
            <v>330</v>
          </cell>
          <cell r="AI9" t="str">
            <v>6 NO CONSTITUYÓ GARANTÍAS</v>
          </cell>
          <cell r="AJ9" t="str">
            <v>RNN Nukak</v>
          </cell>
          <cell r="AK9" t="str">
            <v>N/A</v>
          </cell>
          <cell r="AL9" t="str">
            <v>N/A</v>
          </cell>
          <cell r="AM9" t="str">
            <v>N/A</v>
          </cell>
          <cell r="AN9" t="str">
            <v>N/A</v>
          </cell>
          <cell r="AO9">
            <v>86014797</v>
          </cell>
          <cell r="AP9" t="str">
            <v>https://www.secop.gov.co/CO1ContractsManagement/Tendering/ProcurementContractEdit/View?docUniqueIdentifier=CO1.PCCNTR.3274620</v>
          </cell>
          <cell r="AQ9">
            <v>44578</v>
          </cell>
          <cell r="AR9">
            <v>44579</v>
          </cell>
          <cell r="AS9">
            <v>301031148</v>
          </cell>
          <cell r="AT9" t="str">
            <v>FORTALECIMIENTO</v>
          </cell>
        </row>
        <row r="10">
          <cell r="A10">
            <v>9</v>
          </cell>
          <cell r="B10" t="str">
            <v>NORYLY AGUIRRE OTALORA</v>
          </cell>
          <cell r="C10" t="str">
            <v>CD-DTAM NACION-CPS No. 009 - 2022</v>
          </cell>
          <cell r="D10" t="str">
            <v>ALEJANDRO DELGADO LOZANO</v>
          </cell>
          <cell r="E10">
            <v>1018419668</v>
          </cell>
          <cell r="F10">
            <v>21029</v>
          </cell>
          <cell r="G10">
            <v>80111701</v>
          </cell>
          <cell r="H10" t="str">
            <v>11</v>
          </cell>
          <cell r="I10" t="str">
            <v>Prestación de servicios profesionales Jurídicos en temas administrativos y contractuales en las etapas precontractual, contractual y poscontractual a través de las plataformas dispuestas por el Gobierno Nacional de la Dirección Territorial Amazonia de Parques Nacionales Naturales de Colombia</v>
          </cell>
          <cell r="J10">
            <v>44576</v>
          </cell>
          <cell r="K10" t="str">
            <v>11 meses</v>
          </cell>
          <cell r="L10">
            <v>62700000</v>
          </cell>
          <cell r="M10">
            <v>5700000</v>
          </cell>
          <cell r="N10" t="str">
            <v>DTAM</v>
          </cell>
          <cell r="O10" t="str">
            <v>SI</v>
          </cell>
          <cell r="P10">
            <v>4622</v>
          </cell>
          <cell r="Q10">
            <v>20225000000223</v>
          </cell>
          <cell r="R10">
            <v>3222</v>
          </cell>
          <cell r="S10">
            <v>44576</v>
          </cell>
          <cell r="T10" t="str">
            <v>C-3299-0900-2-0-3299060-02</v>
          </cell>
          <cell r="V10">
            <v>6910</v>
          </cell>
          <cell r="Y10">
            <v>44576</v>
          </cell>
          <cell r="Z10">
            <v>44909</v>
          </cell>
          <cell r="AB10" t="str">
            <v>CSC-100018017</v>
          </cell>
          <cell r="AC10" t="str">
            <v>DIANA CAROLINA GOMEZ RODRIGUEZ</v>
          </cell>
          <cell r="AF10" t="str">
            <v>BOGOTA</v>
          </cell>
          <cell r="AG10" t="str">
            <v>https://community.secop.gov.co/Public/Tendering/ContractNoticePhases/View?PPI=CO1.PPI.16747601&amp;isFromPublicArea=True&amp;isModal=False</v>
          </cell>
          <cell r="AH10">
            <v>330</v>
          </cell>
          <cell r="AI10" t="str">
            <v>1 PÓLIZA</v>
          </cell>
          <cell r="AJ10" t="str">
            <v>Dirección Territorial Amazonía</v>
          </cell>
          <cell r="AK10" t="str">
            <v>8 MUNDIAL SEGUROS</v>
          </cell>
          <cell r="AL10">
            <v>44576</v>
          </cell>
          <cell r="AM10" t="str">
            <v>CSC-100010017</v>
          </cell>
          <cell r="AN10">
            <v>44576</v>
          </cell>
          <cell r="AO10">
            <v>24344682</v>
          </cell>
          <cell r="AP10" t="str">
            <v>https://www.secop.gov.co/CO1ContractsManagement/Tendering/ProcurementContractEdit/View?docUniqueIdentifier=CO1.PCCNTR.3249340</v>
          </cell>
          <cell r="AQ10">
            <v>44576</v>
          </cell>
          <cell r="AR10">
            <v>44607</v>
          </cell>
          <cell r="AS10">
            <v>202201012459406</v>
          </cell>
          <cell r="AT10" t="str">
            <v>FORTALECIMIENTO</v>
          </cell>
        </row>
        <row r="11">
          <cell r="A11">
            <v>10</v>
          </cell>
          <cell r="B11" t="str">
            <v>ALEJANDRO DELGADO LOZANO</v>
          </cell>
          <cell r="C11" t="str">
            <v>CD-DTAM NACION-CPS No. 010 - 2022</v>
          </cell>
          <cell r="D11" t="str">
            <v>INGRID ELIZABETH ÁLVAREZ BARRERO</v>
          </cell>
          <cell r="E11">
            <v>53037983</v>
          </cell>
          <cell r="F11">
            <v>27012</v>
          </cell>
          <cell r="G11">
            <v>80111701</v>
          </cell>
          <cell r="H11" t="str">
            <v>11</v>
          </cell>
          <cell r="I11" t="str">
            <v>Prestación de servicios profesionales y de apoyo a la construcción del modelo de gestión y de relacionamiento en el marco de la denominación de Patrimonio Mixto de la Humanidad del Parque Nacional Natural Serranía de Chiribiquete.</v>
          </cell>
          <cell r="J11">
            <v>44578</v>
          </cell>
          <cell r="K11" t="str">
            <v>10 meses 29 dIas</v>
          </cell>
          <cell r="L11">
            <v>55930000</v>
          </cell>
          <cell r="M11">
            <v>5100000</v>
          </cell>
          <cell r="N11" t="str">
            <v>PNN CHIRIBIQUETE</v>
          </cell>
          <cell r="O11" t="str">
            <v>SI</v>
          </cell>
          <cell r="P11">
            <v>7622</v>
          </cell>
          <cell r="Q11">
            <v>20225000000403</v>
          </cell>
          <cell r="R11">
            <v>4422</v>
          </cell>
          <cell r="S11">
            <v>44580</v>
          </cell>
          <cell r="T11" t="str">
            <v>C-3202-0900-4-0-3202004-02</v>
          </cell>
          <cell r="U11" t="str">
            <v>OTROS SERVICIOS PROFESIONALES Y TÉCNICOS N.C.P.</v>
          </cell>
          <cell r="V11">
            <v>7490</v>
          </cell>
          <cell r="W11" t="str">
            <v>301035385*20/01/2022</v>
          </cell>
          <cell r="Y11">
            <v>44582</v>
          </cell>
          <cell r="Z11">
            <v>44914</v>
          </cell>
          <cell r="AB11" t="str">
            <v>14-44-101145433</v>
          </cell>
          <cell r="AC11" t="str">
            <v xml:space="preserve">AYDA CRISTINA GARZON </v>
          </cell>
          <cell r="AF11" t="str">
            <v>BOGOTÁ</v>
          </cell>
          <cell r="AG11" t="str">
            <v>https://community.secop.gov.co/Public/Tendering/OpportunityDetail/Index?noticeUID=CO1.NTC.2580318&amp;isFromPublicArea=True&amp;isModal=False</v>
          </cell>
          <cell r="AH11">
            <v>329</v>
          </cell>
          <cell r="AI11" t="str">
            <v>1 PÓLIZA</v>
          </cell>
          <cell r="AJ11" t="str">
            <v>PNN Serranía de Chiribiquete</v>
          </cell>
          <cell r="AK11" t="str">
            <v>12 SEGUROS DEL ESTADO</v>
          </cell>
          <cell r="AL11">
            <v>44581</v>
          </cell>
          <cell r="AM11" t="str">
            <v>14-44-101145433</v>
          </cell>
          <cell r="AN11">
            <v>44581</v>
          </cell>
          <cell r="AO11">
            <v>51665707</v>
          </cell>
          <cell r="AP11" t="str">
            <v>https://www.secop.gov.co/CO1ContractsManagement/Tendering/ProcurementContractEdit/View?docUniqueIdentifier=CO1.PCCNTR.3282825</v>
          </cell>
          <cell r="AQ11">
            <v>44579</v>
          </cell>
          <cell r="AR11">
            <v>44581</v>
          </cell>
          <cell r="AS11">
            <v>301035385</v>
          </cell>
          <cell r="AT11" t="str">
            <v>ADMINISTRACION</v>
          </cell>
        </row>
        <row r="12">
          <cell r="A12">
            <v>11</v>
          </cell>
          <cell r="B12" t="str">
            <v>ALEJANDRO DELGADO LOZANO</v>
          </cell>
          <cell r="C12" t="str">
            <v>CD-DTAM NACION-CPS No. 011 - 2022</v>
          </cell>
          <cell r="D12" t="str">
            <v>LUIS EDUARDO CIRO BERMÚDEZ</v>
          </cell>
          <cell r="E12">
            <v>79972371</v>
          </cell>
          <cell r="F12">
            <v>27004</v>
          </cell>
          <cell r="G12">
            <v>80111701</v>
          </cell>
          <cell r="H12" t="str">
            <v>11</v>
          </cell>
          <cell r="I12" t="str">
            <v>Prestación de servicios técnicos y de apoyo a la gestión para implementar y coordinar acciones de restauración, sistemas sostenibles y control y vigilancia que aporten a la disminución de presiones y amenazas hacia el Parque Nacional Natural Serranía de Chiribiquete.</v>
          </cell>
          <cell r="J12">
            <v>44579</v>
          </cell>
          <cell r="K12" t="str">
            <v>11 meses</v>
          </cell>
          <cell r="L12">
            <v>30932000</v>
          </cell>
          <cell r="M12">
            <v>2812000</v>
          </cell>
          <cell r="N12" t="str">
            <v>PNN CHIRIBIQUETE</v>
          </cell>
          <cell r="O12" t="str">
            <v>NO</v>
          </cell>
          <cell r="P12">
            <v>6022</v>
          </cell>
          <cell r="Q12">
            <v>20225000000613</v>
          </cell>
          <cell r="R12">
            <v>4522</v>
          </cell>
          <cell r="S12">
            <v>44581</v>
          </cell>
          <cell r="T12" t="str">
            <v>C-3202-0900-4-0-3202032-02</v>
          </cell>
          <cell r="U12" t="str">
            <v>OTROS SERVICIOS PROFESIONALES Y TÉCNICOS N.C.P.</v>
          </cell>
          <cell r="V12" t="str">
            <v>7490-8541</v>
          </cell>
          <cell r="W12" t="str">
            <v>301037403*21/01/2022</v>
          </cell>
          <cell r="Y12">
            <v>44581</v>
          </cell>
          <cell r="Z12">
            <v>44915</v>
          </cell>
          <cell r="AB12" t="str">
            <v>NA</v>
          </cell>
          <cell r="AC12" t="str">
            <v xml:space="preserve">AYDA CRISTINA GARZON </v>
          </cell>
          <cell r="AF12" t="str">
            <v>CALAMAR - GUAVIARE</v>
          </cell>
          <cell r="AG12" t="str">
            <v>https://community.secop.gov.co/Public/Tendering/OpportunityDetail/Index?noticeUID=CO1.NTC.2580326&amp;isFromPublicArea=True&amp;isModal=False</v>
          </cell>
          <cell r="AH12">
            <v>330</v>
          </cell>
          <cell r="AI12" t="str">
            <v>6 NO CONSTITUYÓ GARANTÍAS</v>
          </cell>
          <cell r="AJ12" t="str">
            <v>PNN Serranía de Chiribiquete</v>
          </cell>
          <cell r="AK12" t="str">
            <v>N/A</v>
          </cell>
          <cell r="AL12" t="str">
            <v>N/A</v>
          </cell>
          <cell r="AM12" t="str">
            <v>N/A</v>
          </cell>
          <cell r="AN12" t="str">
            <v>N/A</v>
          </cell>
          <cell r="AO12">
            <v>51665707</v>
          </cell>
          <cell r="AP12" t="str">
            <v>https://www.secop.gov.co/CO1ContractsManagement/Tendering/ProcurementContractEdit/View?docUniqueIdentifier=CO1.PCCNTR.3288586</v>
          </cell>
          <cell r="AQ12">
            <v>44579</v>
          </cell>
          <cell r="AR12">
            <v>44582</v>
          </cell>
          <cell r="AS12">
            <v>301037403</v>
          </cell>
          <cell r="AT12" t="str">
            <v>ADMINISTRACION</v>
          </cell>
        </row>
        <row r="13">
          <cell r="A13">
            <v>12</v>
          </cell>
          <cell r="B13" t="str">
            <v>ALEJANDRO DELGADO LOZANO</v>
          </cell>
          <cell r="C13" t="str">
            <v>CD-DTAM NACION-CPS No. 012 - 2022</v>
          </cell>
          <cell r="D13" t="str">
            <v>WENDY LORAINE PERDOMO ARIAS</v>
          </cell>
          <cell r="E13">
            <v>1121920541</v>
          </cell>
          <cell r="F13">
            <v>27003</v>
          </cell>
          <cell r="G13">
            <v>80111701</v>
          </cell>
          <cell r="H13" t="str">
            <v>11</v>
          </cell>
          <cell r="I13" t="str">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ell>
          <cell r="J13">
            <v>44579</v>
          </cell>
          <cell r="K13" t="str">
            <v>11 meses</v>
          </cell>
          <cell r="L13">
            <v>15532000</v>
          </cell>
          <cell r="M13">
            <v>1412000</v>
          </cell>
          <cell r="N13" t="str">
            <v>PNN CHIRIBIQUETE</v>
          </cell>
          <cell r="O13" t="str">
            <v>NO</v>
          </cell>
          <cell r="P13">
            <v>6922</v>
          </cell>
          <cell r="Q13">
            <v>20225170000843</v>
          </cell>
          <cell r="R13">
            <v>5022</v>
          </cell>
          <cell r="S13">
            <v>44582</v>
          </cell>
          <cell r="T13" t="str">
            <v>C-3202-0900-4-0-3202032-02</v>
          </cell>
          <cell r="U13" t="str">
            <v>TODOS LOS DEMÁS SERVICIOS PROFESIONALES, TÉCNICOS Y EMPRESARIALES N.C.P.</v>
          </cell>
          <cell r="V13">
            <v>8299</v>
          </cell>
          <cell r="W13" t="str">
            <v>301037430*21/01/2022</v>
          </cell>
          <cell r="Y13">
            <v>44582</v>
          </cell>
          <cell r="Z13">
            <v>44915</v>
          </cell>
          <cell r="AB13" t="str">
            <v>NA</v>
          </cell>
          <cell r="AC13" t="str">
            <v xml:space="preserve">AYDA CRISTINA GARZON </v>
          </cell>
          <cell r="AF13" t="str">
            <v>CALAMAR - GUAVIARE</v>
          </cell>
          <cell r="AG13" t="str">
            <v>https://community.secop.gov.co/Public/Tendering/OpportunityDetail/Index?noticeUID=CO1.NTC.2580267&amp;isFromPublicArea=True&amp;isModal=False</v>
          </cell>
          <cell r="AH13">
            <v>330</v>
          </cell>
          <cell r="AI13" t="str">
            <v>6 NO CONSTITUYÓ GARANTÍAS</v>
          </cell>
          <cell r="AJ13" t="str">
            <v>PNN Serranía de Chiribiquete</v>
          </cell>
          <cell r="AK13" t="str">
            <v>N/A</v>
          </cell>
          <cell r="AL13" t="str">
            <v>N/A</v>
          </cell>
          <cell r="AM13" t="str">
            <v>N/A</v>
          </cell>
          <cell r="AN13" t="str">
            <v>N/A</v>
          </cell>
          <cell r="AO13">
            <v>51665707</v>
          </cell>
          <cell r="AP13" t="str">
            <v>https://www.secop.gov.co/CO1ContractsManagement/Tendering/ProcurementContractEdit/View?docUniqueIdentifier=CO1.PCCNTR.3311424</v>
          </cell>
          <cell r="AQ13">
            <v>44580</v>
          </cell>
          <cell r="AR13">
            <v>44582</v>
          </cell>
          <cell r="AS13">
            <v>301037430</v>
          </cell>
          <cell r="AT13" t="str">
            <v>ADMINISTRACION</v>
          </cell>
        </row>
        <row r="14">
          <cell r="A14">
            <v>13</v>
          </cell>
          <cell r="B14" t="str">
            <v>ALEJANDRO DELGADO LOZANO</v>
          </cell>
          <cell r="C14" t="str">
            <v>CD-DTAM NACION-CPS No. 013 - 2022</v>
          </cell>
          <cell r="D14" t="str">
            <v>YOR MARI FRANCO GÓMEZ</v>
          </cell>
          <cell r="E14">
            <v>40438814</v>
          </cell>
          <cell r="F14">
            <v>27003</v>
          </cell>
          <cell r="G14">
            <v>80111701</v>
          </cell>
          <cell r="H14" t="str">
            <v>11</v>
          </cell>
          <cell r="I14" t="str">
            <v>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v>
          </cell>
          <cell r="J14">
            <v>44579</v>
          </cell>
          <cell r="K14" t="str">
            <v>11 meses</v>
          </cell>
          <cell r="L14">
            <v>15532000</v>
          </cell>
          <cell r="M14">
            <v>1412000</v>
          </cell>
          <cell r="N14" t="str">
            <v>PNN CHIRIBIQUETE</v>
          </cell>
          <cell r="O14" t="str">
            <v>NO</v>
          </cell>
          <cell r="P14">
            <v>6322</v>
          </cell>
          <cell r="Q14">
            <v>20225170000633</v>
          </cell>
          <cell r="R14">
            <v>5122</v>
          </cell>
          <cell r="S14">
            <v>44582</v>
          </cell>
          <cell r="T14" t="str">
            <v>C-3202-0900-4-0-3202032-02</v>
          </cell>
          <cell r="U14" t="str">
            <v>TODOS LOS DEMÁS SERVICIOS PROFESIONALES, TÉCNICOS Y EMPRESARIALES N.C.P.</v>
          </cell>
          <cell r="V14">
            <v>8299</v>
          </cell>
          <cell r="W14" t="str">
            <v>301037438*21/01/2022</v>
          </cell>
          <cell r="Y14">
            <v>44582</v>
          </cell>
          <cell r="Z14">
            <v>44915</v>
          </cell>
          <cell r="AB14" t="str">
            <v>NA</v>
          </cell>
          <cell r="AC14" t="str">
            <v xml:space="preserve">AYDA CRISTINA GARZON </v>
          </cell>
          <cell r="AF14" t="str">
            <v>CALAMAR - GUAVIARE</v>
          </cell>
          <cell r="AG14" t="str">
            <v>https://community.secop.gov.co/Public/Tendering/OpportunityDetail/Index?noticeUID=CO1.NTC.2580270&amp;isFromPublicArea=True&amp;isModal=False</v>
          </cell>
          <cell r="AH14">
            <v>330</v>
          </cell>
          <cell r="AI14" t="str">
            <v>6 NO CONSTITUYÓ GARANTÍAS</v>
          </cell>
          <cell r="AJ14" t="str">
            <v>PNN Serranía de Chiribiquete</v>
          </cell>
          <cell r="AK14" t="str">
            <v>N/A</v>
          </cell>
          <cell r="AL14" t="str">
            <v>N/A</v>
          </cell>
          <cell r="AM14" t="str">
            <v>N/A</v>
          </cell>
          <cell r="AN14" t="str">
            <v>N/A</v>
          </cell>
          <cell r="AO14">
            <v>51665707</v>
          </cell>
          <cell r="AP14" t="str">
            <v>https://www.secop.gov.co/CO1ContractsManagement/Tendering/ProcurementContractEdit/View?docUniqueIdentifier=CO1.PCCNTR.3326993</v>
          </cell>
          <cell r="AQ14">
            <v>44581</v>
          </cell>
          <cell r="AR14">
            <v>44582</v>
          </cell>
          <cell r="AS14">
            <v>301037438</v>
          </cell>
          <cell r="AT14" t="str">
            <v>ADMINISTRACION</v>
          </cell>
        </row>
        <row r="15">
          <cell r="A15">
            <v>14</v>
          </cell>
          <cell r="B15" t="str">
            <v>ALEJANDRO DELGADO LOZANO</v>
          </cell>
          <cell r="C15" t="str">
            <v>CD-DTAM NACION-CPS No. 014 - 2022</v>
          </cell>
          <cell r="D15" t="str">
            <v>DIEGO ALEXIS ALBINO HERNÁNDEZ</v>
          </cell>
          <cell r="E15">
            <v>1122679661</v>
          </cell>
          <cell r="F15">
            <v>27003</v>
          </cell>
          <cell r="G15">
            <v>80111701</v>
          </cell>
          <cell r="H15" t="str">
            <v>11</v>
          </cell>
          <cell r="I15" t="str">
            <v>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v>
          </cell>
          <cell r="J15">
            <v>44579</v>
          </cell>
          <cell r="K15" t="str">
            <v>11 meses</v>
          </cell>
          <cell r="L15">
            <v>15532000</v>
          </cell>
          <cell r="M15">
            <v>1412000</v>
          </cell>
          <cell r="N15" t="str">
            <v>PNN CHIRIBIQUETE</v>
          </cell>
          <cell r="O15" t="str">
            <v>NO</v>
          </cell>
          <cell r="P15">
            <v>6122</v>
          </cell>
          <cell r="Q15">
            <v>20225170000383</v>
          </cell>
          <cell r="R15">
            <v>5222</v>
          </cell>
          <cell r="S15">
            <v>44582</v>
          </cell>
          <cell r="T15" t="str">
            <v>C-3202-0900-4-0-3202032-02</v>
          </cell>
          <cell r="U15" t="str">
            <v>TODOS LOS DEMÁS SERVICIOS PROFESIONALES, TÉCNICOS Y EMPRESARIALES N.C.P.</v>
          </cell>
          <cell r="V15">
            <v>8299</v>
          </cell>
          <cell r="W15" t="str">
            <v>301037444*21/01/2022</v>
          </cell>
          <cell r="Y15">
            <v>44582</v>
          </cell>
          <cell r="Z15">
            <v>44915</v>
          </cell>
          <cell r="AB15" t="str">
            <v>NA</v>
          </cell>
          <cell r="AC15" t="str">
            <v xml:space="preserve">AYDA CRISTINA GARZON </v>
          </cell>
          <cell r="AF15" t="str">
            <v>CALAMAR - GUAVIARE</v>
          </cell>
          <cell r="AG15" t="str">
            <v>https://community.secop.gov.co/Public/Tendering/OpportunityDetail/Index?noticeUID=CO1.NTC.2580531&amp;isFromPublicArea=True&amp;isModal=False</v>
          </cell>
          <cell r="AH15">
            <v>330</v>
          </cell>
          <cell r="AI15" t="str">
            <v>6 NO CONSTITUYÓ GARANTÍAS</v>
          </cell>
          <cell r="AJ15" t="str">
            <v>PNN Serranía de Chiribiquete</v>
          </cell>
          <cell r="AK15" t="str">
            <v>N/A</v>
          </cell>
          <cell r="AL15" t="str">
            <v>N/A</v>
          </cell>
          <cell r="AM15" t="str">
            <v>N/A</v>
          </cell>
          <cell r="AN15" t="str">
            <v>N/A</v>
          </cell>
          <cell r="AO15">
            <v>51665707</v>
          </cell>
          <cell r="AP15" t="str">
            <v>https://www.secop.gov.co/CO1ContractsManagement/Tendering/ProcurementContractEdit/View?docUniqueIdentifier=CO1.PCCNTR.3328070</v>
          </cell>
          <cell r="AQ15">
            <v>44581</v>
          </cell>
          <cell r="AR15">
            <v>44582</v>
          </cell>
          <cell r="AS15">
            <v>301037444</v>
          </cell>
          <cell r="AT15" t="str">
            <v>ADMINISTRACION</v>
          </cell>
        </row>
        <row r="16">
          <cell r="A16">
            <v>15</v>
          </cell>
          <cell r="B16" t="str">
            <v>ALEJANDRO DELGADO LOZANO</v>
          </cell>
          <cell r="C16" t="str">
            <v>CD-DTAM NACION-CPS No. 015 - 2022</v>
          </cell>
          <cell r="D16" t="str">
            <v>JHONNY ALBERTO TORRES TORRES</v>
          </cell>
          <cell r="E16">
            <v>17690665</v>
          </cell>
          <cell r="F16">
            <v>27004</v>
          </cell>
          <cell r="G16">
            <v>80111701</v>
          </cell>
          <cell r="H16" t="str">
            <v>11</v>
          </cell>
          <cell r="I16" t="str">
            <v>Prestación de servicios técnicos y de apoyo a la gestión para realizar acciones de prevención, vigilancia y ordenamiento que contribuyan al posicionamiento del Parque Serranía de Chiribiquete</v>
          </cell>
          <cell r="J16">
            <v>44580</v>
          </cell>
          <cell r="K16" t="str">
            <v>11 meses</v>
          </cell>
          <cell r="L16">
            <v>21560000</v>
          </cell>
          <cell r="M16">
            <v>1960000</v>
          </cell>
          <cell r="N16" t="str">
            <v>PNN CHIRIBIQUETE</v>
          </cell>
          <cell r="O16" t="str">
            <v>NO</v>
          </cell>
          <cell r="P16">
            <v>7322</v>
          </cell>
          <cell r="Q16">
            <v>20225170000663</v>
          </cell>
          <cell r="R16">
            <v>5322</v>
          </cell>
          <cell r="S16">
            <v>44582</v>
          </cell>
          <cell r="T16" t="str">
            <v>C-3202-0900-4-0-3202032-02</v>
          </cell>
          <cell r="U16" t="str">
            <v>OTROS SERVICIOS PROFESIONALES Y TÉCNICOS N.C.P.</v>
          </cell>
          <cell r="V16" t="str">
            <v>0010-8299</v>
          </cell>
          <cell r="W16" t="str">
            <v>301037448*21/01/2022</v>
          </cell>
          <cell r="Y16">
            <v>44582</v>
          </cell>
          <cell r="Z16">
            <v>44915</v>
          </cell>
          <cell r="AB16" t="str">
            <v>NA</v>
          </cell>
          <cell r="AC16" t="str">
            <v xml:space="preserve">AYDA CRISTINA GARZON </v>
          </cell>
          <cell r="AF16" t="str">
            <v>CARTAGENA DEL CHAIRA</v>
          </cell>
          <cell r="AG16" t="str">
            <v>https://community.secop.gov.co/Public/Tendering/OpportunityDetail/Index?noticeUID=CO1.NTC.2581321&amp;isFromPublicArea=True&amp;isModal=False</v>
          </cell>
          <cell r="AH16">
            <v>330</v>
          </cell>
          <cell r="AI16" t="str">
            <v>6 NO CONSTITUYÓ GARANTÍAS</v>
          </cell>
          <cell r="AJ16" t="str">
            <v>PNN Serranía de Chiribiquete</v>
          </cell>
          <cell r="AK16" t="str">
            <v>N/A</v>
          </cell>
          <cell r="AL16" t="str">
            <v>N/A</v>
          </cell>
          <cell r="AM16" t="str">
            <v>N/A</v>
          </cell>
          <cell r="AN16" t="str">
            <v>N/A</v>
          </cell>
          <cell r="AO16">
            <v>51665707</v>
          </cell>
          <cell r="AP16" t="str">
            <v>https://www.secop.gov.co/CO1ContractsManagement/Tendering/ProcurementContractEdit/View?docUniqueIdentifier=CO1.PCCNTR.3328767</v>
          </cell>
          <cell r="AQ16">
            <v>44216</v>
          </cell>
          <cell r="AR16">
            <v>44582</v>
          </cell>
          <cell r="AS16">
            <v>301037448</v>
          </cell>
          <cell r="AT16" t="str">
            <v>ADMINISTRACION</v>
          </cell>
        </row>
        <row r="17">
          <cell r="A17">
            <v>16</v>
          </cell>
          <cell r="B17" t="str">
            <v>ALEJANDRO DELGADO LOZANO</v>
          </cell>
          <cell r="C17" t="str">
            <v>CD-DTAM NACION-CPS No. 016 - 2022</v>
          </cell>
          <cell r="D17" t="str">
            <v xml:space="preserve">ESTHEPANNY LORAYNE SANCHEZ OSORIO
</v>
          </cell>
          <cell r="E17">
            <v>1117971344</v>
          </cell>
          <cell r="F17">
            <v>27003</v>
          </cell>
          <cell r="G17">
            <v>80111701</v>
          </cell>
          <cell r="H17" t="str">
            <v>11</v>
          </cell>
          <cell r="I17" t="str">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ell>
          <cell r="J17">
            <v>44580</v>
          </cell>
          <cell r="K17" t="str">
            <v>11 meses</v>
          </cell>
          <cell r="L17">
            <v>15532000</v>
          </cell>
          <cell r="M17">
            <v>1412000</v>
          </cell>
          <cell r="N17" t="str">
            <v>PNN CHIRIBIQUETE</v>
          </cell>
          <cell r="O17" t="str">
            <v>NO</v>
          </cell>
          <cell r="P17">
            <v>6522</v>
          </cell>
          <cell r="Q17">
            <v>20225170000893</v>
          </cell>
          <cell r="R17">
            <v>5422</v>
          </cell>
          <cell r="S17">
            <v>44582</v>
          </cell>
          <cell r="T17" t="str">
            <v>C-3202-0900-4-0-3202032-02</v>
          </cell>
          <cell r="U17" t="str">
            <v>TODOS LOS DEMÁS SERVICIOS PROFESIONALES, TÉCNICOS Y EMPRESARIALES N.C.P.</v>
          </cell>
          <cell r="V17" t="str">
            <v>8299-8523</v>
          </cell>
          <cell r="W17" t="str">
            <v>301037453*21/01/2022</v>
          </cell>
          <cell r="Y17">
            <v>44582</v>
          </cell>
          <cell r="Z17">
            <v>44915</v>
          </cell>
          <cell r="AB17" t="str">
            <v>NA</v>
          </cell>
          <cell r="AC17" t="str">
            <v xml:space="preserve">AYDA CRISTINA GARZON </v>
          </cell>
          <cell r="AF17" t="str">
            <v>CARTAGENA DEL CHAIRA</v>
          </cell>
          <cell r="AG17" t="str">
            <v>https://community.secop.gov.co/Public/Tendering/OpportunityDetail/Index?noticeUID=CO1.NTC.2581329&amp;isFromPublicArea=True&amp;isModal=False</v>
          </cell>
          <cell r="AH17">
            <v>330</v>
          </cell>
          <cell r="AI17" t="str">
            <v>6 NO CONSTITUYÓ GARANTÍAS</v>
          </cell>
          <cell r="AJ17" t="str">
            <v>PNN Serranía de Chiribiquete</v>
          </cell>
          <cell r="AK17" t="str">
            <v>N/A</v>
          </cell>
          <cell r="AL17" t="str">
            <v>N/A</v>
          </cell>
          <cell r="AM17" t="str">
            <v>N/A</v>
          </cell>
          <cell r="AN17" t="str">
            <v>N/A</v>
          </cell>
          <cell r="AO17">
            <v>51665707</v>
          </cell>
          <cell r="AP17" t="str">
            <v>https://www.secop.gov.co/CO1ContractsManagement/Tendering/ProcurementContractEdit/View?docUniqueIdentifier=CO1.PCCNTR.3329446</v>
          </cell>
          <cell r="AQ17">
            <v>44581</v>
          </cell>
          <cell r="AR17">
            <v>44582</v>
          </cell>
          <cell r="AS17">
            <v>301037453</v>
          </cell>
          <cell r="AT17" t="str">
            <v>ADMINISTRACION</v>
          </cell>
        </row>
        <row r="18">
          <cell r="A18">
            <v>17</v>
          </cell>
          <cell r="B18" t="str">
            <v>ALEJANDRO DELGADO LOZANO</v>
          </cell>
          <cell r="C18" t="str">
            <v>CD-DTAM NACION-CPS No. 017 - 2022</v>
          </cell>
          <cell r="D18" t="str">
            <v>EFRAIN SOTO OLAYA</v>
          </cell>
          <cell r="E18">
            <v>17669470</v>
          </cell>
          <cell r="F18">
            <v>27003</v>
          </cell>
          <cell r="G18">
            <v>80111701</v>
          </cell>
          <cell r="H18" t="str">
            <v>11</v>
          </cell>
          <cell r="I18" t="str">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ell>
          <cell r="J18">
            <v>44579</v>
          </cell>
          <cell r="K18" t="str">
            <v>11 meses</v>
          </cell>
          <cell r="L18">
            <v>15532000</v>
          </cell>
          <cell r="M18">
            <v>1412000</v>
          </cell>
          <cell r="N18" t="str">
            <v>PNN CHIRIBIQUETE</v>
          </cell>
          <cell r="O18" t="str">
            <v>NO</v>
          </cell>
          <cell r="P18">
            <v>6822</v>
          </cell>
          <cell r="Q18">
            <v>20225170000893</v>
          </cell>
          <cell r="R18">
            <v>6622</v>
          </cell>
          <cell r="S18">
            <v>44583</v>
          </cell>
          <cell r="T18" t="str">
            <v>C-3202-0900-4-0-3202032-02</v>
          </cell>
          <cell r="U18" t="str">
            <v>TODOS LOS DEMÁS SERVICIOS PROFESIONALES, TÉCNICOS Y EMPRESARIALES N.C.P.</v>
          </cell>
          <cell r="V18" t="str">
            <v>9609-4921</v>
          </cell>
          <cell r="W18" t="str">
            <v>301038169*22/01/2022</v>
          </cell>
          <cell r="Y18">
            <v>44583</v>
          </cell>
          <cell r="Z18">
            <v>44916</v>
          </cell>
          <cell r="AB18" t="str">
            <v>NA</v>
          </cell>
          <cell r="AC18" t="str">
            <v xml:space="preserve">AYDA CRISTINA GARZON </v>
          </cell>
          <cell r="AF18" t="str">
            <v>CARTAGENA DEL CHAIRA</v>
          </cell>
          <cell r="AG18" t="str">
            <v>https://community.secop.gov.co/Public/Tendering/OpportunityDetail/Index?noticeUID=CO1.NTC.2581257&amp;isFromPublicArea=True&amp;isModal=False</v>
          </cell>
          <cell r="AH18">
            <v>330</v>
          </cell>
          <cell r="AI18" t="str">
            <v>6 NO CONSTITUYÓ GARANTÍAS</v>
          </cell>
          <cell r="AJ18" t="str">
            <v>PNN Serranía de Chiribiquete</v>
          </cell>
          <cell r="AK18" t="str">
            <v>N/A</v>
          </cell>
          <cell r="AL18" t="str">
            <v>N/A</v>
          </cell>
          <cell r="AM18" t="str">
            <v>N/A</v>
          </cell>
          <cell r="AN18" t="str">
            <v>N/A</v>
          </cell>
          <cell r="AO18">
            <v>51665707</v>
          </cell>
          <cell r="AP18" t="str">
            <v>https://www.secop.gov.co/CO1ContractsManagement/Tendering/ProcurementContractEdit/View?docUniqueIdentifier=CO1.PCCNTR.3330221</v>
          </cell>
          <cell r="AQ18">
            <v>44581</v>
          </cell>
          <cell r="AR18">
            <v>44583</v>
          </cell>
          <cell r="AS18">
            <v>301038169</v>
          </cell>
          <cell r="AT18" t="str">
            <v>ADMINISTRACION</v>
          </cell>
        </row>
        <row r="19">
          <cell r="A19">
            <v>18</v>
          </cell>
          <cell r="B19" t="str">
            <v>ALEJANDRO DELGADO LOZANO</v>
          </cell>
          <cell r="C19" t="str">
            <v>CD-DTAM NACION-CPS No. 018 - 2022</v>
          </cell>
          <cell r="D19" t="str">
            <v>JAIRO QUINTERO ANGULO</v>
          </cell>
          <cell r="E19">
            <v>17615993</v>
          </cell>
          <cell r="F19">
            <v>27015</v>
          </cell>
          <cell r="G19">
            <v>80111701</v>
          </cell>
          <cell r="H19" t="str">
            <v>11</v>
          </cell>
          <cell r="I19" t="str">
            <v>Prestación de servicios profesionales y de apoyo a la construcción e implementación de una estrategia de gobernanza que involucre el relacionamiento con comunidades indígenas y campesinas relacionadas con el Parque Nacional Natural Serranía de Chiribiquete como aporte a la disminución de las presiones y amenazas que afectan el área protegida y a la coordinación de acciones con socios estratégicos.</v>
          </cell>
          <cell r="J19">
            <v>44579</v>
          </cell>
          <cell r="K19" t="str">
            <v>10 meses 27 dias</v>
          </cell>
          <cell r="L19">
            <v>44690000</v>
          </cell>
          <cell r="M19">
            <v>4100000</v>
          </cell>
          <cell r="N19" t="str">
            <v>PNN CHIRIBIQUETE</v>
          </cell>
          <cell r="O19" t="str">
            <v>NO</v>
          </cell>
          <cell r="P19">
            <v>5222</v>
          </cell>
          <cell r="Q19">
            <v>20225170000423</v>
          </cell>
          <cell r="R19">
            <v>5822</v>
          </cell>
          <cell r="S19">
            <v>44583</v>
          </cell>
          <cell r="T19" t="str">
            <v>C-3202-0900-4-0-3202008-02</v>
          </cell>
          <cell r="U19" t="str">
            <v>OTROS SERVICIOS PROFESIONALES Y TÉCNICOS N.C.P.</v>
          </cell>
          <cell r="V19">
            <v>7490</v>
          </cell>
          <cell r="W19" t="str">
            <v>301038174*22/01/2022</v>
          </cell>
          <cell r="Y19">
            <v>44583</v>
          </cell>
          <cell r="Z19">
            <v>44913</v>
          </cell>
          <cell r="AB19" t="str">
            <v>NA</v>
          </cell>
          <cell r="AC19" t="str">
            <v xml:space="preserve">AYDA CRISTINA GARZON </v>
          </cell>
          <cell r="AF19" t="str">
            <v>FLORENCIA-CAQUETA</v>
          </cell>
          <cell r="AG19" t="str">
            <v>https://community.secop.gov.co/Public/Tendering/OpportunityDetail/Index?noticeUID=CO1.NTC.2581337&amp;isFromPublicArea=True&amp;isModal=False</v>
          </cell>
          <cell r="AH19">
            <v>327</v>
          </cell>
          <cell r="AI19" t="str">
            <v>6 NO CONSTITUYÓ GARANTÍAS</v>
          </cell>
          <cell r="AJ19" t="str">
            <v>PNN Serranía de Chiribiquete</v>
          </cell>
          <cell r="AK19" t="str">
            <v>N/A</v>
          </cell>
          <cell r="AL19" t="str">
            <v>N/A</v>
          </cell>
          <cell r="AM19" t="str">
            <v>N/A</v>
          </cell>
          <cell r="AN19" t="str">
            <v>N/A</v>
          </cell>
          <cell r="AO19">
            <v>51665707</v>
          </cell>
          <cell r="AP19" t="str">
            <v>https://www.secop.gov.co/CO1ContractsManagement/Tendering/ProcurementContractEdit/View?docUniqueIdentifier=CO1.PCCNTR.3330286</v>
          </cell>
          <cell r="AQ19">
            <v>44581</v>
          </cell>
          <cell r="AR19">
            <v>44583</v>
          </cell>
          <cell r="AS19">
            <v>301038174</v>
          </cell>
          <cell r="AT19" t="str">
            <v>ADMINISTRACION</v>
          </cell>
        </row>
        <row r="20">
          <cell r="A20">
            <v>19</v>
          </cell>
          <cell r="B20" t="str">
            <v>ALEJANDRO DELGADO LOZANO</v>
          </cell>
          <cell r="C20" t="str">
            <v>CD-DTAM NACION-CPS No. 019 - 2022</v>
          </cell>
          <cell r="D20" t="str">
            <v>SERGIO DIONICIO ALVAREZ HERNANDEZ</v>
          </cell>
          <cell r="E20">
            <v>18205648</v>
          </cell>
          <cell r="F20">
            <v>27014</v>
          </cell>
          <cell r="G20">
            <v>80111701</v>
          </cell>
          <cell r="H20" t="str">
            <v>11</v>
          </cell>
          <cell r="I20" t="str">
            <v>Prestación de servicios técnicos y de apoyo a la gestión para adelantar acciones de relacionamiento con comunidades indígenas y de planeación y seguimiento  en el marco del Plan de Manejo del Parque Nacional Natural Serranía de Chiribiquete</v>
          </cell>
          <cell r="J20">
            <v>44579</v>
          </cell>
          <cell r="K20" t="str">
            <v>10 meses 29 dIas</v>
          </cell>
          <cell r="L20">
            <v>25552334</v>
          </cell>
          <cell r="M20">
            <v>2330000</v>
          </cell>
          <cell r="N20" t="str">
            <v>PNN CHIRIBIQUETE</v>
          </cell>
          <cell r="O20" t="str">
            <v>NO</v>
          </cell>
          <cell r="P20">
            <v>5122</v>
          </cell>
          <cell r="Q20">
            <v>20225170000463</v>
          </cell>
          <cell r="R20">
            <v>6022</v>
          </cell>
          <cell r="S20">
            <v>44583</v>
          </cell>
          <cell r="T20" t="str">
            <v>C-3202-0900-4-0-3202008-02</v>
          </cell>
          <cell r="U20" t="str">
            <v>OTROS SERVICIOS PROFESIONALES Y TÉCNICOS N.C.P.</v>
          </cell>
          <cell r="V20">
            <v>8299</v>
          </cell>
          <cell r="W20" t="str">
            <v>301038178*22/01/2022</v>
          </cell>
          <cell r="Y20">
            <v>44583</v>
          </cell>
          <cell r="Z20">
            <v>44915</v>
          </cell>
          <cell r="AB20" t="str">
            <v>NA</v>
          </cell>
          <cell r="AC20" t="str">
            <v xml:space="preserve">AYDA CRISTINA GARZON </v>
          </cell>
          <cell r="AF20" t="str">
            <v>FLORENCIA-CAQUETA</v>
          </cell>
          <cell r="AG20" t="str">
            <v>https://community.secop.gov.co/Public/Tendering/OpportunityDetail/Index?noticeUID=CO1.NTC.2583454&amp;isFromPublicArea=True&amp;isModal=False</v>
          </cell>
          <cell r="AH20">
            <v>329</v>
          </cell>
          <cell r="AI20" t="str">
            <v>6 NO CONSTITUYÓ GARANTÍAS</v>
          </cell>
          <cell r="AJ20" t="str">
            <v>PNN Serranía de Chiribiquete</v>
          </cell>
          <cell r="AK20" t="str">
            <v>N/A</v>
          </cell>
          <cell r="AL20" t="str">
            <v>N/A</v>
          </cell>
          <cell r="AM20" t="str">
            <v>N/A</v>
          </cell>
          <cell r="AN20" t="str">
            <v>N/A</v>
          </cell>
          <cell r="AO20">
            <v>51665707</v>
          </cell>
          <cell r="AP20" t="str">
            <v>https://www.secop.gov.co/CO1ContractsManagement/Tendering/ProcurementContractEdit/View?docUniqueIdentifier=CO1.PCCNTR.3330754</v>
          </cell>
          <cell r="AQ20">
            <v>44581</v>
          </cell>
          <cell r="AR20">
            <v>44583</v>
          </cell>
          <cell r="AS20">
            <v>301038178</v>
          </cell>
          <cell r="AT20" t="str">
            <v>ADMINISTRACION</v>
          </cell>
        </row>
        <row r="21">
          <cell r="A21">
            <v>20</v>
          </cell>
          <cell r="B21" t="str">
            <v>ALEJANDRO DELGADO LOZANO</v>
          </cell>
          <cell r="C21" t="str">
            <v>CD-DTAM NACION-CPS No. 020 - 2022</v>
          </cell>
          <cell r="D21" t="str">
            <v>JOSÉ LUIS CALDERON MANRIQUE</v>
          </cell>
          <cell r="E21">
            <v>1122678671</v>
          </cell>
          <cell r="F21">
            <v>27004</v>
          </cell>
          <cell r="G21">
            <v>80111701</v>
          </cell>
          <cell r="H21" t="str">
            <v>11</v>
          </cell>
          <cell r="I21" t="str">
            <v>Prestación de servicios técnicos y de apoyo a la gestión para realizar acciones de prevención, vigilancia y ordenamiento que contribuyan al posicionamiento y conservación del Parque Serranía de Chiribiquete</v>
          </cell>
          <cell r="J21">
            <v>44579</v>
          </cell>
          <cell r="K21" t="str">
            <v>11 meses</v>
          </cell>
          <cell r="L21">
            <v>21560000</v>
          </cell>
          <cell r="M21">
            <v>1960000</v>
          </cell>
          <cell r="N21" t="str">
            <v>PNN CHIRIBIQUETE</v>
          </cell>
          <cell r="O21" t="str">
            <v>NO</v>
          </cell>
          <cell r="P21">
            <v>7222</v>
          </cell>
          <cell r="Q21">
            <v>20225170000643</v>
          </cell>
          <cell r="R21">
            <v>6122</v>
          </cell>
          <cell r="S21">
            <v>44583</v>
          </cell>
          <cell r="T21" t="str">
            <v>C-3202-0900-4-0-3202032-02</v>
          </cell>
          <cell r="U21" t="str">
            <v>OTROS SERVICIOS PROFESIONALES Y TÉCNICOS N.C.P.</v>
          </cell>
          <cell r="V21" t="str">
            <v>5021-4923</v>
          </cell>
          <cell r="W21" t="str">
            <v>301038181*22/01/2022</v>
          </cell>
          <cell r="Y21">
            <v>44583</v>
          </cell>
          <cell r="Z21">
            <v>44916</v>
          </cell>
          <cell r="AB21" t="str">
            <v>NA</v>
          </cell>
          <cell r="AC21" t="str">
            <v xml:space="preserve">AYDA CRISTINA GARZON </v>
          </cell>
          <cell r="AF21" t="str">
            <v>MIRAFLORES - GUAVIARE</v>
          </cell>
          <cell r="AG21" t="str">
            <v>https://community.secop.gov.co/Public/Tendering/OpportunityDetail/Index?noticeUID=CO1.NTC.2581340&amp;isFromPublicArea=True&amp;isModal=False</v>
          </cell>
          <cell r="AH21">
            <v>330</v>
          </cell>
          <cell r="AI21" t="str">
            <v>6 NO CONSTITUYÓ GARANTÍAS</v>
          </cell>
          <cell r="AJ21" t="str">
            <v>PNN Serranía de Chiribiquete</v>
          </cell>
          <cell r="AK21" t="str">
            <v>N/A</v>
          </cell>
          <cell r="AL21" t="str">
            <v>N/A</v>
          </cell>
          <cell r="AM21" t="str">
            <v>N/A</v>
          </cell>
          <cell r="AN21" t="str">
            <v>N/A</v>
          </cell>
          <cell r="AO21">
            <v>51665707</v>
          </cell>
          <cell r="AP21" t="str">
            <v>https://www.secop.gov.co/CO1ContractsManagement/Tendering/ProcurementContractEdit/View?docUniqueIdentifier=CO1.PCCNTR.3330894</v>
          </cell>
          <cell r="AQ21">
            <v>44581</v>
          </cell>
          <cell r="AR21">
            <v>44583</v>
          </cell>
          <cell r="AS21">
            <v>301038181</v>
          </cell>
          <cell r="AT21" t="str">
            <v>ADMINISTRACION</v>
          </cell>
        </row>
        <row r="22">
          <cell r="A22">
            <v>21</v>
          </cell>
          <cell r="B22" t="str">
            <v>ALEJANDRO DELGADO LOZANO</v>
          </cell>
          <cell r="C22" t="str">
            <v>CD-DTAM NACION-CPS No. 021 - 2022</v>
          </cell>
          <cell r="D22" t="str">
            <v>CARLOS ALBERTO CALDERON MANRIQUE</v>
          </cell>
          <cell r="E22">
            <v>1122139404</v>
          </cell>
          <cell r="F22">
            <v>27003</v>
          </cell>
          <cell r="G22">
            <v>80111701</v>
          </cell>
          <cell r="H22" t="str">
            <v>11</v>
          </cell>
          <cell r="I22" t="str">
            <v>Prestación de servicios operativos y de apoyo a la gestión del del personal técnico y profesional en procesos administrativos y en el desarrollo de acciones enmarcadas en las diferentes líneas de trabajo que aporten al control de las presiones y amenazas que afecten el Parque Nacional Natural Serranía de Chiribiquete.</v>
          </cell>
          <cell r="J22">
            <v>44580</v>
          </cell>
          <cell r="K22" t="str">
            <v>11 meses</v>
          </cell>
          <cell r="L22">
            <v>15532000</v>
          </cell>
          <cell r="M22">
            <v>1412000</v>
          </cell>
          <cell r="N22" t="str">
            <v>PNN CHIRIBIQUETE</v>
          </cell>
          <cell r="O22" t="str">
            <v>NO</v>
          </cell>
          <cell r="P22">
            <v>6222</v>
          </cell>
          <cell r="Q22">
            <v>20225170000573</v>
          </cell>
          <cell r="R22">
            <v>6222</v>
          </cell>
          <cell r="S22">
            <v>44583</v>
          </cell>
          <cell r="T22" t="str">
            <v>C-3202-0900-4-0-3202032-02</v>
          </cell>
          <cell r="U22" t="str">
            <v>TODOS LOS DEMÁS SERVICIOS PROFESIONALES, TÉCNICOS Y EMPRESARIALES N.C.P.</v>
          </cell>
          <cell r="V22">
            <v>8299</v>
          </cell>
          <cell r="W22" t="str">
            <v>301038185*22/01/2022</v>
          </cell>
          <cell r="Y22">
            <v>44583</v>
          </cell>
          <cell r="Z22">
            <v>44916</v>
          </cell>
          <cell r="AB22" t="str">
            <v>NA</v>
          </cell>
          <cell r="AC22" t="str">
            <v xml:space="preserve">AYDA CRISTINA GARZON </v>
          </cell>
          <cell r="AF22" t="str">
            <v>MIRAFLORES - GUAVIARE</v>
          </cell>
          <cell r="AG22" t="str">
            <v>https://community.secop.gov.co/Public/Tendering/OpportunityDetail/Index?noticeUID=CO1.NTC.2581420&amp;isFromPublicArea=True&amp;isModal=False</v>
          </cell>
          <cell r="AH22">
            <v>330</v>
          </cell>
          <cell r="AI22" t="str">
            <v>6 NO CONSTITUYÓ GARANTÍAS</v>
          </cell>
          <cell r="AJ22" t="str">
            <v>PNN Serranía de Chiribiquete</v>
          </cell>
          <cell r="AK22" t="str">
            <v>N/A</v>
          </cell>
          <cell r="AL22" t="str">
            <v>N/A</v>
          </cell>
          <cell r="AM22" t="str">
            <v>N/A</v>
          </cell>
          <cell r="AN22" t="str">
            <v>N/A</v>
          </cell>
          <cell r="AO22">
            <v>51665707</v>
          </cell>
          <cell r="AP22" t="str">
            <v>https://www.secop.gov.co/CO1ContractsManagement/Tendering/ProcurementContractEdit/View?docUniqueIdentifier=CO1.PCCNTR.3331424</v>
          </cell>
          <cell r="AQ22">
            <v>44581</v>
          </cell>
          <cell r="AR22">
            <v>44583</v>
          </cell>
          <cell r="AS22">
            <v>301038185</v>
          </cell>
          <cell r="AT22" t="str">
            <v>ADMINISTRACION</v>
          </cell>
        </row>
        <row r="23">
          <cell r="A23">
            <v>22</v>
          </cell>
          <cell r="B23" t="str">
            <v>ALEJANDRO DELGADO LOZANO</v>
          </cell>
          <cell r="C23" t="str">
            <v>CD-DTAM NACION-CPS No. 022 - 2022</v>
          </cell>
          <cell r="D23" t="str">
            <v>HÉCTOR ANDRÉS PINZÓN CASTRO</v>
          </cell>
          <cell r="E23">
            <v>1122677782</v>
          </cell>
          <cell r="F23">
            <v>27013</v>
          </cell>
          <cell r="G23">
            <v>80111701</v>
          </cell>
          <cell r="H23" t="str">
            <v>11</v>
          </cell>
          <cell r="I23" t="str">
            <v>Prestación de servicios técnicos y de apoyo a la gestión para realizar acciones de prevención, vigilancia y ordenamiento que contribuyan al posicionamiento y conservación del Parque Serranía de Chiribiquete.</v>
          </cell>
          <cell r="J23">
            <v>44579</v>
          </cell>
          <cell r="K23" t="str">
            <v>10 meses 29 dIas</v>
          </cell>
          <cell r="L23">
            <v>25552334</v>
          </cell>
          <cell r="M23">
            <v>2330000</v>
          </cell>
          <cell r="N23" t="str">
            <v>PNN CHIRIBIQUETE</v>
          </cell>
          <cell r="O23" t="str">
            <v>NO</v>
          </cell>
          <cell r="P23">
            <v>7122</v>
          </cell>
          <cell r="Q23">
            <v>20225170000613</v>
          </cell>
          <cell r="R23">
            <v>7122</v>
          </cell>
          <cell r="S23">
            <v>44585</v>
          </cell>
          <cell r="T23" t="str">
            <v>C-3202-0900-4-0-3202008-02</v>
          </cell>
          <cell r="U23" t="str">
            <v>OTROS SERVICIOS PROFESIONALES Y TÉCNICOS N.C.P.</v>
          </cell>
          <cell r="V23" t="str">
            <v>7220-0161</v>
          </cell>
          <cell r="W23" t="str">
            <v>301038188*22/01/2022</v>
          </cell>
          <cell r="Y23">
            <v>44585</v>
          </cell>
          <cell r="Z23">
            <v>44917</v>
          </cell>
          <cell r="AB23" t="str">
            <v>NA</v>
          </cell>
          <cell r="AC23" t="str">
            <v xml:space="preserve">AYDA CRISTINA GARZON </v>
          </cell>
          <cell r="AF23" t="str">
            <v>SAN JOSE DEL GUAVIARE</v>
          </cell>
          <cell r="AG23" t="str">
            <v>https://community.secop.gov.co/Public/Tendering/OpportunityDetail/Index?noticeUID=CO1.NTC.2581371&amp;isFromPublicArea=True&amp;isModal=False</v>
          </cell>
          <cell r="AH23">
            <v>329</v>
          </cell>
          <cell r="AI23" t="str">
            <v>6 NO CONSTITUYÓ GARANTÍAS</v>
          </cell>
          <cell r="AJ23" t="str">
            <v>PNN Serranía de Chiribiquete</v>
          </cell>
          <cell r="AK23" t="str">
            <v>N/A</v>
          </cell>
          <cell r="AL23" t="str">
            <v>N/A</v>
          </cell>
          <cell r="AM23" t="str">
            <v>N/A</v>
          </cell>
          <cell r="AN23" t="str">
            <v>N/A</v>
          </cell>
          <cell r="AO23">
            <v>51665707</v>
          </cell>
          <cell r="AP23" t="str">
            <v>https://www.secop.gov.co/CO1ContractsManagement/Tendering/ProcurementContractEdit/View?docUniqueIdentifier=CO1.PCCNTR.3331645</v>
          </cell>
          <cell r="AQ23">
            <v>44581</v>
          </cell>
          <cell r="AR23">
            <v>44583</v>
          </cell>
          <cell r="AS23">
            <v>301038188</v>
          </cell>
          <cell r="AT23" t="str">
            <v>ADMINISTRACION</v>
          </cell>
        </row>
        <row r="24">
          <cell r="A24">
            <v>23</v>
          </cell>
          <cell r="B24" t="str">
            <v>ALEJANDRO DELGADO LOZANO</v>
          </cell>
          <cell r="C24" t="str">
            <v>CD-DTAM NACION-CPS No. 023 - 2022</v>
          </cell>
          <cell r="D24" t="str">
            <v>ALEJANDRA ALVAREZ RESTREPO</v>
          </cell>
          <cell r="E24">
            <v>1120579269</v>
          </cell>
          <cell r="F24">
            <v>27003</v>
          </cell>
          <cell r="G24">
            <v>80111701</v>
          </cell>
          <cell r="H24" t="str">
            <v>11</v>
          </cell>
          <cell r="I24" t="str">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ell>
          <cell r="J24">
            <v>44579</v>
          </cell>
          <cell r="K24" t="str">
            <v>11 meses</v>
          </cell>
          <cell r="L24">
            <v>15532000</v>
          </cell>
          <cell r="M24">
            <v>1412000</v>
          </cell>
          <cell r="N24" t="str">
            <v>PNN CHIRIBIQUETE</v>
          </cell>
          <cell r="O24" t="str">
            <v>NO</v>
          </cell>
          <cell r="P24">
            <v>6422</v>
          </cell>
          <cell r="Q24">
            <v>20225170000823</v>
          </cell>
          <cell r="R24">
            <v>6422</v>
          </cell>
          <cell r="S24">
            <v>44583</v>
          </cell>
          <cell r="T24" t="str">
            <v>C-3202-0900-4-0-3202032-02</v>
          </cell>
          <cell r="U24" t="str">
            <v>TODOS LOS DEMÁS SERVICIOS PROFESIONALES, TÉCNICOS Y EMPRESARIALES N.C.P.</v>
          </cell>
          <cell r="V24">
            <v>8299</v>
          </cell>
          <cell r="W24" t="str">
            <v>301038191*22/01/2022</v>
          </cell>
          <cell r="Y24">
            <v>44583</v>
          </cell>
          <cell r="Z24">
            <v>44916</v>
          </cell>
          <cell r="AB24" t="str">
            <v>NA</v>
          </cell>
          <cell r="AC24" t="str">
            <v xml:space="preserve">AYDA CRISTINA GARZON </v>
          </cell>
          <cell r="AF24" t="str">
            <v>SAN JOSE DEL GUAVIARE</v>
          </cell>
          <cell r="AG24" t="str">
            <v>https://community.secop.gov.co/Public/Tendering/OpportunityDetail/Index?noticeUID=CO1.NTC.2583801&amp;isFromPublicArea=True&amp;isModal=False</v>
          </cell>
          <cell r="AH24">
            <v>330</v>
          </cell>
          <cell r="AI24" t="str">
            <v>6 NO CONSTITUYÓ GARANTÍAS</v>
          </cell>
          <cell r="AJ24" t="str">
            <v>PNN Serranía de Chiribiquete</v>
          </cell>
          <cell r="AK24" t="str">
            <v>N/A</v>
          </cell>
          <cell r="AL24" t="str">
            <v>N/A</v>
          </cell>
          <cell r="AM24" t="str">
            <v>N/A</v>
          </cell>
          <cell r="AN24" t="str">
            <v>N/A</v>
          </cell>
          <cell r="AO24">
            <v>51665707</v>
          </cell>
          <cell r="AP24" t="str">
            <v>https://www.secop.gov.co/CO1ContractsManagement/Tendering/ProcurementContractEdit/View?docUniqueIdentifier=CO1.PCCNTR.3332342</v>
          </cell>
          <cell r="AQ24">
            <v>44581</v>
          </cell>
          <cell r="AR24">
            <v>44583</v>
          </cell>
          <cell r="AS24">
            <v>301038191</v>
          </cell>
          <cell r="AT24" t="str">
            <v>ADMINISTRACION</v>
          </cell>
        </row>
        <row r="25">
          <cell r="A25">
            <v>24</v>
          </cell>
          <cell r="B25" t="str">
            <v>ALEJANDRO DELGADO LOZANO</v>
          </cell>
          <cell r="C25" t="str">
            <v>CD-DTAM NACION-CPS No. 024 - 2022</v>
          </cell>
          <cell r="D25" t="str">
            <v>JOSE OMAR MORA JARAMILLO</v>
          </cell>
          <cell r="E25">
            <v>17674137</v>
          </cell>
          <cell r="F25">
            <v>27004</v>
          </cell>
          <cell r="G25">
            <v>80111701</v>
          </cell>
          <cell r="H25" t="str">
            <v>11</v>
          </cell>
          <cell r="I25" t="str">
            <v>Prestación de servicios técnicos y de apoyo a la gestión para realizar acciones de prevención, vigilancia y ordenamiento que contribuyan al posicionamiento y conservación del Parque Serranía de Chiribiquete.</v>
          </cell>
          <cell r="J25">
            <v>44579</v>
          </cell>
          <cell r="K25" t="str">
            <v>11 meses</v>
          </cell>
          <cell r="L25">
            <v>21560000</v>
          </cell>
          <cell r="M25">
            <v>1960000</v>
          </cell>
          <cell r="N25" t="str">
            <v>PNN CHIRIBIQUETE</v>
          </cell>
          <cell r="O25" t="str">
            <v>NO</v>
          </cell>
          <cell r="P25">
            <v>7422</v>
          </cell>
          <cell r="Q25">
            <v>20225170000673</v>
          </cell>
          <cell r="R25">
            <v>6322</v>
          </cell>
          <cell r="S25">
            <v>44583</v>
          </cell>
          <cell r="T25" t="str">
            <v>C-3202-0900-4-0-3202032-02</v>
          </cell>
          <cell r="U25" t="str">
            <v>OTROS SERVICIOS PROFESIONALES Y TÉCNICOS N.C.P.</v>
          </cell>
          <cell r="V25" t="str">
            <v>8523-8299</v>
          </cell>
          <cell r="W25" t="str">
            <v>301038215*22/01/2022</v>
          </cell>
          <cell r="Y25">
            <v>44583</v>
          </cell>
          <cell r="Z25">
            <v>44916</v>
          </cell>
          <cell r="AB25" t="str">
            <v>NA</v>
          </cell>
          <cell r="AC25" t="str">
            <v xml:space="preserve">AYDA CRISTINA GARZON </v>
          </cell>
          <cell r="AF25" t="str">
            <v>SAN VICENTE DEL CAGUAN</v>
          </cell>
          <cell r="AG25" t="str">
            <v>https://community.secop.gov.co/Public/Tendering/OpportunityDetail/Index?noticeUID=CO1.NTC.2583803&amp;isFromPublicArea=True&amp;isModal=False</v>
          </cell>
          <cell r="AH25">
            <v>330</v>
          </cell>
          <cell r="AI25" t="str">
            <v>6 NO CONSTITUYÓ GARANTÍAS</v>
          </cell>
          <cell r="AJ25" t="str">
            <v>PNN Serranía de Chiribiquete</v>
          </cell>
          <cell r="AK25" t="str">
            <v>N/A</v>
          </cell>
          <cell r="AL25" t="str">
            <v>N/A</v>
          </cell>
          <cell r="AM25" t="str">
            <v>N/A</v>
          </cell>
          <cell r="AN25" t="str">
            <v>N/A</v>
          </cell>
          <cell r="AO25">
            <v>51665707</v>
          </cell>
          <cell r="AP25" t="str">
            <v>https://www.secop.gov.co/CO1ContractsManagement/Tendering/ProcurementContractEdit/View?docUniqueIdentifier=CO1.PCCNTR.3333736</v>
          </cell>
          <cell r="AQ25">
            <v>44581</v>
          </cell>
          <cell r="AR25">
            <v>44583</v>
          </cell>
          <cell r="AS25">
            <v>301038215</v>
          </cell>
          <cell r="AT25" t="str">
            <v>ADMINISTRACION</v>
          </cell>
        </row>
        <row r="26">
          <cell r="A26">
            <v>25</v>
          </cell>
          <cell r="B26" t="str">
            <v>ALEJANDRO DELGADO LOZANO</v>
          </cell>
          <cell r="C26" t="str">
            <v>CD-DTAM NACION-CPS No. 025 - 2022</v>
          </cell>
          <cell r="D26" t="str">
            <v>LUIS CARLOS JIMENEZ VARCO</v>
          </cell>
          <cell r="E26">
            <v>17652974</v>
          </cell>
          <cell r="F26">
            <v>27004</v>
          </cell>
          <cell r="G26">
            <v>80111701</v>
          </cell>
          <cell r="H26" t="str">
            <v>11</v>
          </cell>
          <cell r="I26" t="str">
            <v>Prestación de servicios técnicos y de apoyo a la gestión para realizar acciones de prevención, vigilancia y ordenamiento que contribuyan al posicionamiento y conservación del Parque Serranía de Chiribiquete.</v>
          </cell>
          <cell r="J26">
            <v>44579</v>
          </cell>
          <cell r="K26" t="str">
            <v>11 meses</v>
          </cell>
          <cell r="L26">
            <v>21560000</v>
          </cell>
          <cell r="M26">
            <v>1960000</v>
          </cell>
          <cell r="N26" t="str">
            <v>PNN CHIRIBIQUETE</v>
          </cell>
          <cell r="O26" t="str">
            <v>NO</v>
          </cell>
          <cell r="P26">
            <v>7522</v>
          </cell>
          <cell r="Q26">
            <v>20225170000883</v>
          </cell>
          <cell r="R26">
            <v>5722</v>
          </cell>
          <cell r="S26">
            <v>44583</v>
          </cell>
          <cell r="T26" t="str">
            <v>C-3202-0900-4-0-3202032-02</v>
          </cell>
          <cell r="U26" t="str">
            <v>OTROS SERVICIOS PROFESIONALES Y TÉCNICOS N.C.P.</v>
          </cell>
          <cell r="V26" t="str">
            <v>0161-8299</v>
          </cell>
          <cell r="W26" t="str">
            <v>301038196*22/01/2022</v>
          </cell>
          <cell r="Y26">
            <v>44583</v>
          </cell>
          <cell r="Z26">
            <v>44916</v>
          </cell>
          <cell r="AB26" t="str">
            <v>NA</v>
          </cell>
          <cell r="AC26" t="str">
            <v xml:space="preserve">AYDA CRISTINA GARZON </v>
          </cell>
          <cell r="AF26" t="str">
            <v>SOLANO-CAQUETA</v>
          </cell>
          <cell r="AG26" t="str">
            <v>https://community.secop.gov.co/Public/Tendering/OpportunityDetail/Index?noticeUID=CO1.NTC.2583808&amp;isFromPublicArea=True&amp;isModal=False</v>
          </cell>
          <cell r="AH26">
            <v>330</v>
          </cell>
          <cell r="AI26" t="str">
            <v>6 NO CONSTITUYÓ GARANTÍAS</v>
          </cell>
          <cell r="AJ26" t="str">
            <v>PNN Serranía de Chiribiquete</v>
          </cell>
          <cell r="AK26" t="str">
            <v>N/A</v>
          </cell>
          <cell r="AL26" t="str">
            <v>N/A</v>
          </cell>
          <cell r="AM26" t="str">
            <v>N/A</v>
          </cell>
          <cell r="AN26" t="str">
            <v>N/A</v>
          </cell>
          <cell r="AO26">
            <v>51665707</v>
          </cell>
          <cell r="AP26" t="str">
            <v>https://www.secop.gov.co/CO1ContractsManagement/Tendering/ProcurementContractEdit/View?docUniqueIdentifier=CO1.PCCNTR.3334166</v>
          </cell>
          <cell r="AQ26">
            <v>44581</v>
          </cell>
          <cell r="AR26">
            <v>44583</v>
          </cell>
          <cell r="AS26">
            <v>301038196</v>
          </cell>
          <cell r="AT26" t="str">
            <v>ADMINISTRACION</v>
          </cell>
        </row>
        <row r="27">
          <cell r="A27">
            <v>26</v>
          </cell>
          <cell r="B27" t="str">
            <v>ALEJANDRO DELGADO LOZANO</v>
          </cell>
          <cell r="C27" t="str">
            <v>CD-DTAM NACION-CPS No. 026 - 2022</v>
          </cell>
          <cell r="D27" t="str">
            <v>BREIDY CLAVIJO DAVILA</v>
          </cell>
          <cell r="E27">
            <v>1075263644</v>
          </cell>
          <cell r="F27">
            <v>27003</v>
          </cell>
          <cell r="G27">
            <v>80111701</v>
          </cell>
          <cell r="H27" t="str">
            <v>11</v>
          </cell>
          <cell r="I27" t="str">
            <v>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v>
          </cell>
          <cell r="J27">
            <v>44579</v>
          </cell>
          <cell r="K27" t="str">
            <v>11 meses</v>
          </cell>
          <cell r="L27">
            <v>15532000</v>
          </cell>
          <cell r="M27">
            <v>1412000</v>
          </cell>
          <cell r="N27" t="str">
            <v>PNN CHIRIBIQUETE</v>
          </cell>
          <cell r="O27" t="str">
            <v>NO</v>
          </cell>
          <cell r="P27">
            <v>6722</v>
          </cell>
          <cell r="Q27">
            <v>20225170000883</v>
          </cell>
          <cell r="R27">
            <v>6522</v>
          </cell>
          <cell r="S27">
            <v>44583</v>
          </cell>
          <cell r="T27" t="str">
            <v>C-3202-0900-4-0-3202032-02</v>
          </cell>
          <cell r="U27" t="str">
            <v>TODOS LOS DEMÁS SERVICIOS PROFESIONALES, TÉCNICOS Y EMPRESARIALES N.C.P.</v>
          </cell>
          <cell r="V27">
            <v>9609</v>
          </cell>
          <cell r="W27" t="str">
            <v>301038198*22/01/2022</v>
          </cell>
          <cell r="Y27">
            <v>44583</v>
          </cell>
          <cell r="Z27">
            <v>44916</v>
          </cell>
          <cell r="AB27" t="str">
            <v>NA</v>
          </cell>
          <cell r="AC27" t="str">
            <v xml:space="preserve">AYDA CRISTINA GARZON </v>
          </cell>
          <cell r="AF27" t="str">
            <v>SOLANO-CAQUETA</v>
          </cell>
          <cell r="AG27" t="str">
            <v>https://community.secop.gov.co/Public/Tendering/OpportunityDetail/Index?noticeUID=CO1.NTC.2583809&amp;isFromPublicArea=True&amp;isModal=False</v>
          </cell>
          <cell r="AH27">
            <v>330</v>
          </cell>
          <cell r="AI27" t="str">
            <v>6 NO CONSTITUYÓ GARANTÍAS</v>
          </cell>
          <cell r="AJ27" t="str">
            <v>PNN Serranía de Chiribiquete</v>
          </cell>
          <cell r="AK27" t="str">
            <v>N/A</v>
          </cell>
          <cell r="AL27" t="str">
            <v>N/A</v>
          </cell>
          <cell r="AM27" t="str">
            <v>N/A</v>
          </cell>
          <cell r="AN27" t="str">
            <v>N/A</v>
          </cell>
          <cell r="AO27">
            <v>51665707</v>
          </cell>
          <cell r="AP27" t="str">
            <v>https://www.secop.gov.co/CO1ContractsManagement/Tendering/ProcurementContractEdit/View?docUniqueIdentifier=CO1.PCCNTR.3334494</v>
          </cell>
          <cell r="AQ27">
            <v>44581</v>
          </cell>
          <cell r="AR27">
            <v>44583</v>
          </cell>
          <cell r="AS27">
            <v>301038198</v>
          </cell>
          <cell r="AT27" t="str">
            <v>ADMINISTRACION</v>
          </cell>
        </row>
        <row r="28">
          <cell r="A28">
            <v>27</v>
          </cell>
          <cell r="B28" t="str">
            <v>ALEJANDRO DELGADO LOZANO</v>
          </cell>
          <cell r="C28" t="str">
            <v>CD-DTAM NACION-CPS No. 027 - 2022</v>
          </cell>
          <cell r="D28" t="str">
            <v>JEFFERSON OSORIO MENDEZ</v>
          </cell>
          <cell r="E28">
            <v>1117497746</v>
          </cell>
          <cell r="F28">
            <v>27003</v>
          </cell>
          <cell r="G28">
            <v>80111701</v>
          </cell>
          <cell r="H28" t="str">
            <v>11</v>
          </cell>
          <cell r="I28" t="str">
            <v>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v>
          </cell>
          <cell r="J28">
            <v>44579</v>
          </cell>
          <cell r="K28" t="str">
            <v>11 meses</v>
          </cell>
          <cell r="L28">
            <v>15532000</v>
          </cell>
          <cell r="M28">
            <v>1412000</v>
          </cell>
          <cell r="N28" t="str">
            <v>PNN CHIRIBIQUETE</v>
          </cell>
          <cell r="O28" t="str">
            <v>NO</v>
          </cell>
          <cell r="P28">
            <v>6622</v>
          </cell>
          <cell r="Q28">
            <v>20225170000903</v>
          </cell>
          <cell r="R28">
            <v>5922</v>
          </cell>
          <cell r="S28">
            <v>44583</v>
          </cell>
          <cell r="T28" t="str">
            <v>C-3202-0900-4-0-3202032-02</v>
          </cell>
          <cell r="U28" t="str">
            <v>TODOS LOS DEMÁS SERVICIOS PROFESIONALES, TÉCNICOS Y EMPRESARIALES N.C.P.</v>
          </cell>
          <cell r="V28" t="str">
            <v>8523-8299</v>
          </cell>
          <cell r="W28" t="str">
            <v>301066195*02/02/2022</v>
          </cell>
          <cell r="Y28">
            <v>44583</v>
          </cell>
          <cell r="Z28">
            <v>44916</v>
          </cell>
          <cell r="AB28" t="str">
            <v>NA</v>
          </cell>
          <cell r="AC28" t="str">
            <v xml:space="preserve">AYDA CRISTINA GARZON </v>
          </cell>
          <cell r="AF28" t="str">
            <v>SOLANO-CAQUETA</v>
          </cell>
          <cell r="AG28" t="str">
            <v>https://community.secop.gov.co/Public/Tendering/OpportunityDetail/Index?noticeUID=CO1.NTC.2584006&amp;isFromPublicArea=True&amp;isModal=False</v>
          </cell>
          <cell r="AH28">
            <v>330</v>
          </cell>
          <cell r="AI28" t="str">
            <v>6 NO CONSTITUYÓ GARANTÍAS</v>
          </cell>
          <cell r="AJ28" t="str">
            <v>PNN Serranía de Chiribiquete</v>
          </cell>
          <cell r="AK28" t="str">
            <v>N/A</v>
          </cell>
          <cell r="AL28" t="str">
            <v>N/A</v>
          </cell>
          <cell r="AM28" t="str">
            <v>N/A</v>
          </cell>
          <cell r="AN28" t="str">
            <v>N/A</v>
          </cell>
          <cell r="AO28">
            <v>51665707</v>
          </cell>
          <cell r="AP28" t="str">
            <v>https://www.secop.gov.co/CO1ContractsManagement/Tendering/ProcurementContractEdit/View?docUniqueIdentifier=CO1.PCCNTR.3335272</v>
          </cell>
          <cell r="AQ28">
            <v>44582</v>
          </cell>
          <cell r="AR28">
            <v>44594</v>
          </cell>
          <cell r="AS28">
            <v>301066195</v>
          </cell>
          <cell r="AT28" t="str">
            <v>ADMINISTRACION</v>
          </cell>
        </row>
        <row r="29">
          <cell r="A29">
            <v>28</v>
          </cell>
          <cell r="B29" t="str">
            <v>MARIA ALEJANDRA SANCHEZ RIVERA</v>
          </cell>
          <cell r="C29" t="str">
            <v>CD-DTAM NACION-CPS No. 028 - 2022</v>
          </cell>
          <cell r="D29" t="str">
            <v>KELLY JOHANA PEÑA RIVEROS</v>
          </cell>
          <cell r="E29">
            <v>52884555</v>
          </cell>
          <cell r="F29">
            <v>30012</v>
          </cell>
          <cell r="G29">
            <v>80111701</v>
          </cell>
          <cell r="H29" t="str">
            <v>11</v>
          </cell>
          <cell r="I29" t="str">
            <v>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v>
          </cell>
          <cell r="J29">
            <v>44579</v>
          </cell>
          <cell r="K29" t="str">
            <v>11 meses</v>
          </cell>
          <cell r="L29">
            <v>55930000</v>
          </cell>
          <cell r="M29">
            <v>5100000</v>
          </cell>
          <cell r="N29" t="str">
            <v>PNN NUKAK</v>
          </cell>
          <cell r="O29" t="str">
            <v>SI</v>
          </cell>
          <cell r="P29">
            <v>7822</v>
          </cell>
          <cell r="Q29">
            <v>20225240000963</v>
          </cell>
          <cell r="R29">
            <v>4122</v>
          </cell>
          <cell r="S29">
            <v>44580</v>
          </cell>
          <cell r="T29" t="str">
            <v>C-3202-0900-4-0-3202008-02</v>
          </cell>
          <cell r="Y29">
            <v>44578</v>
          </cell>
          <cell r="Z29">
            <v>44914</v>
          </cell>
          <cell r="AB29" t="str">
            <v>14-44-101145130</v>
          </cell>
          <cell r="AC29" t="str">
            <v>VICTOR SETINA</v>
          </cell>
          <cell r="AF29" t="str">
            <v>SAN JOSE DEL GUAVIARE</v>
          </cell>
          <cell r="AG29" t="str">
            <v>https://community.secop.gov.co/Public/Tendering/ContractNoticePhases/View?PPI=CO1.PPI.16768009&amp;isFromPublicArea=True&amp;isModal=False</v>
          </cell>
          <cell r="AH29">
            <v>330</v>
          </cell>
          <cell r="AI29" t="str">
            <v>1 PÓLIZA</v>
          </cell>
          <cell r="AJ29" t="str">
            <v>RNN Nukak</v>
          </cell>
          <cell r="AK29" t="str">
            <v>12 SEGUROS DEL ESTADO</v>
          </cell>
          <cell r="AL29">
            <v>44580</v>
          </cell>
          <cell r="AM29" t="str">
            <v>14-44-101145130</v>
          </cell>
          <cell r="AN29">
            <v>44580</v>
          </cell>
          <cell r="AO29">
            <v>86014797</v>
          </cell>
          <cell r="AP29" t="str">
            <v>https://www.secop.gov.co/CO1ContractsManagement/Tendering/ProcurementContractEdit/View?docUniqueIdentifier=CO1.PCCNTR.3294008</v>
          </cell>
          <cell r="AQ29">
            <v>44579</v>
          </cell>
          <cell r="AR29">
            <v>44607</v>
          </cell>
          <cell r="AS29">
            <v>301086616</v>
          </cell>
          <cell r="AT29" t="str">
            <v>ADMINISTRACION</v>
          </cell>
        </row>
        <row r="30">
          <cell r="A30">
            <v>29</v>
          </cell>
          <cell r="B30" t="str">
            <v>LAURA CAROLINA CORREA RAMIREZ</v>
          </cell>
          <cell r="C30" t="str">
            <v>CD-DTAM NACION-CPS No. 029 - 2022</v>
          </cell>
          <cell r="D30" t="str">
            <v>GLADIS PAZ CRIOLLO</v>
          </cell>
          <cell r="E30">
            <v>27359199</v>
          </cell>
          <cell r="F30">
            <v>28019</v>
          </cell>
          <cell r="G30">
            <v>80111701</v>
          </cell>
          <cell r="H30" t="str">
            <v>11</v>
          </cell>
          <cell r="I30" t="str">
            <v>Prestación de servicios profesionales y de apoyo a la gestión para para desarrollar actividades administrativas y de seguimiento al programa de bienestar, seguridad y salud en el trabajo, del Parque Nacional Natural Serranía de los Churumbelos Auka Wasi</v>
          </cell>
          <cell r="J30">
            <v>44578</v>
          </cell>
          <cell r="K30" t="str">
            <v>10 meses 29 dIas</v>
          </cell>
          <cell r="L30">
            <v>36552000</v>
          </cell>
          <cell r="M30">
            <v>3333000</v>
          </cell>
          <cell r="N30" t="str">
            <v>PNN CHURUMBELOS</v>
          </cell>
          <cell r="O30" t="str">
            <v>NO</v>
          </cell>
          <cell r="P30">
            <v>5922</v>
          </cell>
          <cell r="Q30">
            <v>20225000000273</v>
          </cell>
          <cell r="R30">
            <v>3722</v>
          </cell>
          <cell r="S30">
            <v>44578</v>
          </cell>
          <cell r="T30" t="str">
            <v>C-3202-0900-4-0-3202014-02</v>
          </cell>
          <cell r="Y30">
            <v>44578</v>
          </cell>
          <cell r="Z30">
            <v>44911</v>
          </cell>
          <cell r="AB30" t="str">
            <v>NA</v>
          </cell>
          <cell r="AC30" t="str">
            <v>FLABIO ARMANDO HERRERA CAICEDO</v>
          </cell>
          <cell r="AF30" t="str">
            <v>Mocoa</v>
          </cell>
          <cell r="AG30" t="str">
            <v>https://community.secop.gov.co/Public/Tendering/OpportunityDetail/Index?noticeUID=CO1.NTC.2580505&amp;isFromPublicArea=True&amp;isModal=False</v>
          </cell>
          <cell r="AH30">
            <v>329</v>
          </cell>
          <cell r="AI30" t="str">
            <v>6 NO CONSTITUYÓ GARANTÍAS</v>
          </cell>
          <cell r="AJ30" t="str">
            <v>PNN Serranía de Los Churumbelos</v>
          </cell>
          <cell r="AK30" t="str">
            <v>N/A</v>
          </cell>
          <cell r="AL30" t="str">
            <v>N/A</v>
          </cell>
          <cell r="AM30" t="str">
            <v>N/A</v>
          </cell>
          <cell r="AN30" t="str">
            <v>N/A</v>
          </cell>
          <cell r="AO30">
            <v>19481189</v>
          </cell>
          <cell r="AP30" t="str">
            <v>https://www.secop.gov.co/CO1ContractsManagement/Tendering/ProcurementContractEdit/View?docUniqueIdentifier=CO1.PCCNTR.3264058</v>
          </cell>
          <cell r="AQ30">
            <v>44578</v>
          </cell>
          <cell r="AR30">
            <v>44578</v>
          </cell>
          <cell r="AS30">
            <v>301028882</v>
          </cell>
          <cell r="AT30" t="str">
            <v>FORTALECIMIENTO</v>
          </cell>
        </row>
        <row r="31">
          <cell r="A31">
            <v>30</v>
          </cell>
          <cell r="B31" t="str">
            <v>NORYLY AGUIRRE OTALORA</v>
          </cell>
          <cell r="C31" t="str">
            <v>CD-DTAM NACION-CPS No. 030 - 2022</v>
          </cell>
          <cell r="D31" t="str">
            <v>LIDA YAZMIN CHITIVA SILVA</v>
          </cell>
          <cell r="E31">
            <v>40601723</v>
          </cell>
          <cell r="F31">
            <v>22019</v>
          </cell>
          <cell r="G31">
            <v>80111701</v>
          </cell>
          <cell r="H31" t="str">
            <v>11</v>
          </cell>
          <cell r="I31" t="str">
            <v>Prestación de servicios profesionales y de apoyo administrativo a la gestión e implementación del plan de acción anual del Parque Nacional Natural Alto Fragua Indi Wasi</v>
          </cell>
          <cell r="J31">
            <v>44578</v>
          </cell>
          <cell r="K31" t="str">
            <v>10 meses 29 dIas</v>
          </cell>
          <cell r="L31">
            <v>51324000</v>
          </cell>
          <cell r="M31">
            <v>4680000</v>
          </cell>
          <cell r="N31" t="str">
            <v>PNN ALTO FRAGUA IW</v>
          </cell>
          <cell r="O31" t="str">
            <v>SI</v>
          </cell>
          <cell r="P31">
            <v>7022</v>
          </cell>
          <cell r="Q31">
            <v>20225160000603</v>
          </cell>
          <cell r="R31">
            <v>3622</v>
          </cell>
          <cell r="S31">
            <v>44578</v>
          </cell>
          <cell r="T31" t="str">
            <v>C-3202-0900-4-0-3202031-02</v>
          </cell>
          <cell r="V31">
            <v>7490</v>
          </cell>
          <cell r="W31">
            <v>301028861</v>
          </cell>
          <cell r="Y31">
            <v>44578</v>
          </cell>
          <cell r="Z31">
            <v>44910</v>
          </cell>
          <cell r="AB31" t="str">
            <v>14-44-101144691</v>
          </cell>
          <cell r="AC31" t="str">
            <v>ANGELICA CARVAJAL RUEDA</v>
          </cell>
          <cell r="AF31" t="str">
            <v>SAN JOSÉ DEL FRAGUA</v>
          </cell>
          <cell r="AG31" t="str">
            <v>https://community.secop.gov.co/Public/Tendering/ContractNoticePhases/View?PPI=CO1.PPI.16779508&amp;isFromPublicArea=True&amp;isModal=False</v>
          </cell>
          <cell r="AH31">
            <v>329</v>
          </cell>
          <cell r="AI31" t="str">
            <v>1 PÓLIZA</v>
          </cell>
          <cell r="AJ31" t="str">
            <v>PNN Alto Fragua Indi Wasi</v>
          </cell>
          <cell r="AK31" t="str">
            <v>12 SEGUROS DEL ESTADO</v>
          </cell>
          <cell r="AL31">
            <v>44578</v>
          </cell>
          <cell r="AM31" t="str">
            <v>14-44-101144691</v>
          </cell>
          <cell r="AN31">
            <v>44578</v>
          </cell>
          <cell r="AO31">
            <v>28557787</v>
          </cell>
          <cell r="AP31" t="str">
            <v>https://www.secop.gov.co/CO1ContractsManagement/Tendering/ProcurementContractEdit/View?docUniqueIdentifier=CO1.PCCNTR.3263342</v>
          </cell>
          <cell r="AQ31">
            <v>44578</v>
          </cell>
          <cell r="AR31">
            <v>44578</v>
          </cell>
          <cell r="AS31">
            <v>301028861</v>
          </cell>
          <cell r="AT31" t="str">
            <v>FORTALECIMIENTO</v>
          </cell>
        </row>
        <row r="32">
          <cell r="A32">
            <v>31</v>
          </cell>
          <cell r="B32" t="str">
            <v>NORYLY AGUIRRE OTALORA</v>
          </cell>
          <cell r="C32" t="str">
            <v>CD-DTAM NACION-CPS No. 031 - 2022</v>
          </cell>
          <cell r="D32" t="str">
            <v xml:space="preserve">JHON FREDY MOSQUERA CRUZ </v>
          </cell>
          <cell r="E32">
            <v>1006840454</v>
          </cell>
          <cell r="F32">
            <v>30007</v>
          </cell>
          <cell r="G32">
            <v>80111701</v>
          </cell>
          <cell r="H32" t="str">
            <v>11</v>
          </cell>
          <cell r="I32" t="str">
            <v>Prestación de servicios de Técnico Ambiental y de apoyo a la RNN Nukak, en el marco de la implementación de la estrategia de UOT en la gestión con comunidades campesinas que se encuentran asentadas al interior y en zona de influencia de la RNN Nukak.</v>
          </cell>
          <cell r="J32">
            <v>44579</v>
          </cell>
          <cell r="K32" t="str">
            <v>11 meses</v>
          </cell>
          <cell r="L32">
            <v>30932000</v>
          </cell>
          <cell r="M32">
            <v>2812000</v>
          </cell>
          <cell r="N32" t="str">
            <v>PNN NUKAK</v>
          </cell>
          <cell r="O32" t="str">
            <v>NO</v>
          </cell>
          <cell r="P32">
            <v>8122</v>
          </cell>
          <cell r="Q32">
            <v>20225000000283</v>
          </cell>
          <cell r="R32">
            <v>3922</v>
          </cell>
          <cell r="S32">
            <v>44579</v>
          </cell>
          <cell r="T32" t="str">
            <v>C-3299-0900-2-0-3299060-02</v>
          </cell>
          <cell r="V32">
            <v>8299</v>
          </cell>
          <cell r="W32">
            <v>301031142</v>
          </cell>
          <cell r="Y32">
            <v>44579</v>
          </cell>
          <cell r="Z32">
            <v>44912</v>
          </cell>
          <cell r="AB32" t="str">
            <v>NA</v>
          </cell>
          <cell r="AC32" t="str">
            <v>VICTOR SETINA</v>
          </cell>
          <cell r="AF32" t="str">
            <v>SAN JOSÉ DEL FRAGUA</v>
          </cell>
          <cell r="AG32" t="str">
            <v>https://community.secop.gov.co/Public/Tendering/ContractNoticePhases/View?PPI=CO1.PPI.16833227&amp;isFromPublicArea=True&amp;isModal=False</v>
          </cell>
          <cell r="AH32">
            <v>330</v>
          </cell>
          <cell r="AI32" t="str">
            <v>6 NO CONSTITUYÓ GARANTÍAS</v>
          </cell>
          <cell r="AJ32" t="str">
            <v>RNN Nukak</v>
          </cell>
          <cell r="AK32" t="str">
            <v>N/A</v>
          </cell>
          <cell r="AL32" t="str">
            <v>N/A</v>
          </cell>
          <cell r="AM32" t="str">
            <v>N/A</v>
          </cell>
          <cell r="AN32" t="str">
            <v>N/A</v>
          </cell>
          <cell r="AO32">
            <v>86014797</v>
          </cell>
          <cell r="AP32" t="str">
            <v>https://www.secop.gov.co/CO1ContractsManagement/Tendering/ProcurementContractEdit/View?docUniqueIdentifier=CO1.PCCNTR.3285411</v>
          </cell>
          <cell r="AQ32">
            <v>44579</v>
          </cell>
          <cell r="AR32">
            <v>44579</v>
          </cell>
          <cell r="AS32">
            <v>301031142</v>
          </cell>
          <cell r="AT32" t="str">
            <v>ADMINISTRACION</v>
          </cell>
        </row>
        <row r="33">
          <cell r="A33">
            <v>32</v>
          </cell>
          <cell r="B33" t="str">
            <v>LAURA CAROLINA CORREA RAMIREZ</v>
          </cell>
          <cell r="C33" t="str">
            <v>CD-DTAM NACION-CPS No. 032 - 2022</v>
          </cell>
          <cell r="D33" t="str">
            <v>MARTHA ISABEL PEREZ LLANOS</v>
          </cell>
          <cell r="E33">
            <v>63501128</v>
          </cell>
          <cell r="F33">
            <v>30018</v>
          </cell>
          <cell r="G33">
            <v>80111701</v>
          </cell>
          <cell r="H33" t="str">
            <v>11</v>
          </cell>
          <cell r="I33" t="str">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v>
          </cell>
          <cell r="J33">
            <v>44579</v>
          </cell>
          <cell r="K33" t="str">
            <v>11 meses</v>
          </cell>
          <cell r="L33">
            <v>30932000</v>
          </cell>
          <cell r="M33">
            <v>2812000</v>
          </cell>
          <cell r="N33" t="str">
            <v>PNN NUKAK</v>
          </cell>
          <cell r="O33" t="str">
            <v>NO</v>
          </cell>
          <cell r="P33">
            <v>3822</v>
          </cell>
          <cell r="Q33">
            <v>20225000000363</v>
          </cell>
          <cell r="R33">
            <v>3822</v>
          </cell>
          <cell r="S33">
            <v>44579</v>
          </cell>
          <cell r="T33" t="str">
            <v>C-3299-0900-2-0-3299060-02</v>
          </cell>
          <cell r="Y33">
            <v>44579</v>
          </cell>
          <cell r="Z33">
            <v>44912</v>
          </cell>
          <cell r="AB33" t="str">
            <v>NA</v>
          </cell>
          <cell r="AC33" t="str">
            <v>VICTOR SETINA</v>
          </cell>
          <cell r="AF33" t="str">
            <v>SAN JOSÉ DEL GUAVIARE</v>
          </cell>
          <cell r="AG33" t="str">
            <v>https://community.secop.gov.co/Public/Tendering/OpportunityDetail/Index?noticeUID=CO1.NTC.2593201&amp;isFromPublicArea=True&amp;isModal=False</v>
          </cell>
          <cell r="AH33">
            <v>330</v>
          </cell>
          <cell r="AI33" t="str">
            <v>6 NO CONSTITUYÓ GARANTÍAS</v>
          </cell>
          <cell r="AJ33" t="str">
            <v>RNN Nukak</v>
          </cell>
          <cell r="AK33" t="str">
            <v>N/A</v>
          </cell>
          <cell r="AL33" t="str">
            <v>N/A</v>
          </cell>
          <cell r="AM33" t="str">
            <v>N/A</v>
          </cell>
          <cell r="AN33" t="str">
            <v>N/A</v>
          </cell>
          <cell r="AO33">
            <v>86014797</v>
          </cell>
          <cell r="AP33" t="str">
            <v>https://www.secop.gov.co/CO1ContractsManagement/Tendering/ProcurementContractEdit/View?docUniqueIdentifier=CO1.PCCNTR.3278466</v>
          </cell>
          <cell r="AQ33">
            <v>44579</v>
          </cell>
          <cell r="AR33">
            <v>44579</v>
          </cell>
          <cell r="AS33">
            <v>301031137</v>
          </cell>
          <cell r="AT33" t="str">
            <v>FORTALECIMIENTO</v>
          </cell>
        </row>
        <row r="34">
          <cell r="A34">
            <v>33</v>
          </cell>
          <cell r="B34" t="str">
            <v>LAURA CAROLINA CORREA RAMIREZ</v>
          </cell>
          <cell r="C34" t="str">
            <v>CD-DTAM NACION-CPS No. 033 - 2022</v>
          </cell>
          <cell r="D34" t="str">
            <v>KAREN LORENA ORTIZ DIAZ</v>
          </cell>
          <cell r="E34">
            <v>1022397856</v>
          </cell>
          <cell r="F34">
            <v>21030</v>
          </cell>
          <cell r="G34">
            <v>80111701</v>
          </cell>
          <cell r="H34" t="str">
            <v>11</v>
          </cell>
          <cell r="I34" t="str">
            <v>Prestación de servicios técnicos y de apoyo a la gestión en la Dirección Territorial Amazonia de Parques Nacionales Naturales de Colombia, con el fin de escanear, descartar y organizar el archivo de gestión e histórico, de acuerdo con los lineamientos del Archivo General de la Nación, para proteger y conservar la memoria de la Entidad en el proyecto de digitalización.</v>
          </cell>
          <cell r="J34">
            <v>44580</v>
          </cell>
          <cell r="K34" t="str">
            <v>11 meses</v>
          </cell>
          <cell r="L34">
            <v>30932000</v>
          </cell>
          <cell r="M34">
            <v>2812000</v>
          </cell>
          <cell r="N34" t="str">
            <v>DTAM</v>
          </cell>
          <cell r="O34" t="str">
            <v>NO</v>
          </cell>
          <cell r="P34">
            <v>8922</v>
          </cell>
          <cell r="Q34">
            <v>20225000000513</v>
          </cell>
          <cell r="R34">
            <v>4322</v>
          </cell>
          <cell r="S34">
            <v>44580</v>
          </cell>
          <cell r="T34" t="str">
            <v>C-3299-0900-2-0-3299060-02</v>
          </cell>
          <cell r="Y34">
            <v>44580</v>
          </cell>
          <cell r="Z34">
            <v>44913</v>
          </cell>
          <cell r="AB34" t="str">
            <v>NA</v>
          </cell>
          <cell r="AC34" t="str">
            <v>CLAUDIA OFELIA MANRIQUE ROA</v>
          </cell>
          <cell r="AF34" t="str">
            <v>BOGOTÁ</v>
          </cell>
          <cell r="AG34" t="str">
            <v>https://community.secop.gov.co/Public/Tendering/OpportunityDetail/Index?noticeUID=CO1.NTC.2610632&amp;isFromPublicArea=True&amp;isModal=False</v>
          </cell>
          <cell r="AH34">
            <v>330</v>
          </cell>
          <cell r="AI34" t="str">
            <v>6 NO CONSTITUYÓ GARANTÍAS</v>
          </cell>
          <cell r="AJ34" t="str">
            <v>Dirección Territorial Amazonía</v>
          </cell>
          <cell r="AK34" t="str">
            <v>N/A</v>
          </cell>
          <cell r="AL34" t="str">
            <v>N/A</v>
          </cell>
          <cell r="AM34" t="str">
            <v>N/A</v>
          </cell>
          <cell r="AN34" t="str">
            <v>N/A</v>
          </cell>
          <cell r="AO34">
            <v>41674698</v>
          </cell>
          <cell r="AP34" t="str">
            <v>https://www.secop.gov.co/CO1ContractsManagement/Tendering/ProcurementContractEdit/View?docUniqueIdentifier=CO1.PCCNTR.3299908</v>
          </cell>
          <cell r="AQ34">
            <v>44579</v>
          </cell>
          <cell r="AR34">
            <v>44581</v>
          </cell>
          <cell r="AS34">
            <v>301035497</v>
          </cell>
          <cell r="AT34" t="str">
            <v>FORTALECIMIENTO</v>
          </cell>
        </row>
        <row r="35">
          <cell r="A35">
            <v>34</v>
          </cell>
          <cell r="B35" t="str">
            <v>NORYLY AGUIRRE OTALORA</v>
          </cell>
          <cell r="C35" t="str">
            <v>CD-DTAM NACION-CPS No. 034 - 2022</v>
          </cell>
          <cell r="D35" t="str">
            <v>MIRIEM SOCORRO TORRES PAREDES</v>
          </cell>
          <cell r="E35">
            <v>1121198647</v>
          </cell>
          <cell r="F35">
            <v>29013</v>
          </cell>
          <cell r="G35">
            <v>80111701</v>
          </cell>
          <cell r="H35" t="str">
            <v>11</v>
          </cell>
          <cell r="I35" t="str">
            <v>Prestar Servicios Técnicos y de apoyo a la gestión para desarrollar actividades administrativas, de ejecución presupuestal, manejo de inventarios y de soporte a los mecanismos de planeación, evaluación, seguimiento y Sistema Integrado de Gestión del Parque Nacional Natural Yaigojé Apaporis.</v>
          </cell>
          <cell r="J35">
            <v>44548</v>
          </cell>
          <cell r="K35" t="str">
            <v>11 meses</v>
          </cell>
          <cell r="L35">
            <v>30932000</v>
          </cell>
          <cell r="M35">
            <v>2812000</v>
          </cell>
          <cell r="N35" t="str">
            <v>PNN YAIGOJE APAPORIS</v>
          </cell>
          <cell r="O35" t="str">
            <v>NO</v>
          </cell>
          <cell r="P35">
            <v>8222</v>
          </cell>
          <cell r="Q35">
            <v>20225000000473</v>
          </cell>
          <cell r="R35">
            <v>4222</v>
          </cell>
          <cell r="S35">
            <v>44580</v>
          </cell>
          <cell r="T35" t="str">
            <v>C-3299-0900-2-0-3299060-02</v>
          </cell>
          <cell r="V35">
            <v>8299</v>
          </cell>
          <cell r="W35">
            <v>301033489</v>
          </cell>
          <cell r="Y35">
            <v>44580</v>
          </cell>
          <cell r="Z35">
            <v>44913</v>
          </cell>
          <cell r="AB35" t="str">
            <v>NA</v>
          </cell>
          <cell r="AC35" t="str">
            <v>EDGAR ARGEMIRO CASTRO AGUILERA</v>
          </cell>
          <cell r="AF35" t="str">
            <v>LETICIA</v>
          </cell>
          <cell r="AG35" t="str">
            <v>https://community.secop.gov.co/Public/Tendering/ContractNoticePhases/View?PPI=CO1.PPI.16848756&amp;isFromPublicArea=True&amp;isModal=False</v>
          </cell>
          <cell r="AH35">
            <v>330</v>
          </cell>
          <cell r="AI35" t="str">
            <v>6 NO CONSTITUYÓ GARANTÍAS</v>
          </cell>
          <cell r="AJ35" t="str">
            <v>PNN Yaigojé Apaporis</v>
          </cell>
          <cell r="AK35" t="str">
            <v>N/A</v>
          </cell>
          <cell r="AL35" t="str">
            <v>N/A</v>
          </cell>
          <cell r="AM35" t="str">
            <v>N/A</v>
          </cell>
          <cell r="AN35" t="str">
            <v>N/A</v>
          </cell>
          <cell r="AO35">
            <v>79494598</v>
          </cell>
          <cell r="AP35" t="str">
            <v>https://www.secop.gov.co/CO1ContractsManagement/Tendering/ProcurementContractEdit/View?docUniqueIdentifier=CO1.PCCNTR.3290696</v>
          </cell>
          <cell r="AQ35">
            <v>44579</v>
          </cell>
          <cell r="AR35">
            <v>44580</v>
          </cell>
          <cell r="AS35">
            <v>301033489</v>
          </cell>
          <cell r="AT35" t="str">
            <v>FORTALECIMIENTO</v>
          </cell>
        </row>
        <row r="36">
          <cell r="A36">
            <v>35</v>
          </cell>
          <cell r="B36" t="str">
            <v>NORYLY AGUIRRE OTALORA</v>
          </cell>
          <cell r="C36" t="str">
            <v>CD-DTAM NACION-CPS No. 035 - 2022</v>
          </cell>
          <cell r="D36" t="str">
            <v>JAMES TORRES RAMIREZ</v>
          </cell>
          <cell r="E36">
            <v>79866558</v>
          </cell>
          <cell r="F36">
            <v>21030</v>
          </cell>
          <cell r="G36">
            <v>80111701</v>
          </cell>
          <cell r="H36" t="str">
            <v>11</v>
          </cell>
          <cell r="I36" t="str">
            <v>Prestar servicios técnicos y de apoyo a la gestión en la Dirección Territorial Amazonia de Parques Nacionales Naturales de Colombia, con el fin de adelantar las operaciones relacionadas con las áreas administrativas de contratos y pagaduría, en seguimientos y reportes que le sean solicitados y bases de datos establecidas por la entidad</v>
          </cell>
          <cell r="J36">
            <v>44585</v>
          </cell>
          <cell r="K36" t="str">
            <v>11 meses 7 dias</v>
          </cell>
          <cell r="L36">
            <v>31588133</v>
          </cell>
          <cell r="M36">
            <v>2812000</v>
          </cell>
          <cell r="N36" t="str">
            <v>DTAM</v>
          </cell>
          <cell r="O36" t="str">
            <v>NO</v>
          </cell>
          <cell r="P36">
            <v>8722</v>
          </cell>
          <cell r="Q36">
            <v>20225000000283</v>
          </cell>
          <cell r="R36">
            <v>8022</v>
          </cell>
          <cell r="S36">
            <v>44585</v>
          </cell>
          <cell r="T36" t="str">
            <v>C-3299-0900-2-0-3299060-02</v>
          </cell>
          <cell r="V36">
            <v>6202</v>
          </cell>
          <cell r="Y36">
            <v>44585</v>
          </cell>
          <cell r="Z36">
            <v>44925</v>
          </cell>
          <cell r="AB36" t="str">
            <v>NA</v>
          </cell>
          <cell r="AC36" t="str">
            <v>CLAUDIA OFELIA MANRIQUE ROA</v>
          </cell>
          <cell r="AF36" t="str">
            <v>BOGOTÁ</v>
          </cell>
          <cell r="AG36" t="str">
            <v>https://community.secop.gov.co/Public/Tendering/ContractNoticePhases/View?PPI=CO1.PPI.16867078&amp;isFromPublicArea=True&amp;isModal=False</v>
          </cell>
          <cell r="AH36">
            <v>337</v>
          </cell>
          <cell r="AI36" t="str">
            <v>6 NO CONSTITUYÓ GARANTÍAS</v>
          </cell>
          <cell r="AJ36" t="str">
            <v>Dirección Territorial Amazonía</v>
          </cell>
          <cell r="AK36" t="str">
            <v>N/A</v>
          </cell>
          <cell r="AL36" t="str">
            <v>N/A</v>
          </cell>
          <cell r="AM36" t="str">
            <v>N/A</v>
          </cell>
          <cell r="AN36" t="str">
            <v>N/A</v>
          </cell>
          <cell r="AO36">
            <v>41674698</v>
          </cell>
          <cell r="AP36" t="str">
            <v>https://www.secop.gov.co/CO1ContractsManagement/Tendering/ProcurementContractEdit/View?docUniqueIdentifier=CO1.PCCNTR.3390190</v>
          </cell>
          <cell r="AQ36">
            <v>44585</v>
          </cell>
          <cell r="AR36">
            <v>44596</v>
          </cell>
          <cell r="AS36">
            <v>301068957</v>
          </cell>
          <cell r="AT36" t="str">
            <v>FORTALECIMIENTO</v>
          </cell>
        </row>
        <row r="37">
          <cell r="A37">
            <v>36</v>
          </cell>
          <cell r="B37" t="str">
            <v>NORYLY AGUIRRE OTALORA</v>
          </cell>
          <cell r="C37" t="str">
            <v>CD-DTAM NACION-CPS No. 036 - 2022</v>
          </cell>
          <cell r="D37" t="str">
            <v>JOSE WILIAN GARCIA ROJAS</v>
          </cell>
          <cell r="E37">
            <v>17616332</v>
          </cell>
          <cell r="F37">
            <v>22002</v>
          </cell>
          <cell r="G37">
            <v>80111701</v>
          </cell>
          <cell r="H37" t="str">
            <v>11</v>
          </cell>
          <cell r="I37" t="str">
            <v>Prestar servicios de apoyo a la gestión al equipo técnico del área y realizar el mantenimiento básico a la sede administrativa, la maquinaria y los vehículos del Parque Nacional Natural Alto Fragua Indi Wasi en la vigencia 2022</v>
          </cell>
          <cell r="J37">
            <v>44581</v>
          </cell>
          <cell r="K37" t="str">
            <v>11 meses</v>
          </cell>
          <cell r="L37">
            <v>15532000</v>
          </cell>
          <cell r="M37">
            <v>1412000</v>
          </cell>
          <cell r="N37" t="str">
            <v>PNN ALTO FRAGUA IW</v>
          </cell>
          <cell r="O37" t="str">
            <v>NO</v>
          </cell>
          <cell r="P37">
            <v>4722</v>
          </cell>
          <cell r="Q37">
            <v>20225000000643</v>
          </cell>
          <cell r="R37">
            <v>4722</v>
          </cell>
          <cell r="S37">
            <v>44581</v>
          </cell>
          <cell r="T37" t="str">
            <v>C-3299-0900-2-0-3299060-02</v>
          </cell>
          <cell r="V37">
            <v>9609</v>
          </cell>
          <cell r="W37">
            <v>301035505</v>
          </cell>
          <cell r="Y37">
            <v>44581</v>
          </cell>
          <cell r="Z37">
            <v>44580</v>
          </cell>
          <cell r="AB37" t="str">
            <v>NA</v>
          </cell>
          <cell r="AC37" t="str">
            <v>ANGELICA CARVAJAL RUEDA</v>
          </cell>
          <cell r="AF37" t="str">
            <v>San José del Fragua, Belén de los Andaquíes y Florencia</v>
          </cell>
          <cell r="AG37" t="str">
            <v>https://community.secop.gov.co/Public/Tendering/ContractNoticePhases/View?PPI=CO1.PPI.16922506&amp;isFromPublicArea=True&amp;isModal=False</v>
          </cell>
          <cell r="AH37">
            <v>330</v>
          </cell>
          <cell r="AI37" t="str">
            <v>6 NO CONSTITUYÓ GARANTÍAS</v>
          </cell>
          <cell r="AJ37" t="str">
            <v>PNN Alto Fragua Indi Wasi</v>
          </cell>
          <cell r="AK37" t="str">
            <v>N/A</v>
          </cell>
          <cell r="AL37" t="str">
            <v>N/A</v>
          </cell>
          <cell r="AM37" t="str">
            <v>N/A</v>
          </cell>
          <cell r="AN37" t="str">
            <v>N/A</v>
          </cell>
          <cell r="AO37">
            <v>28557787</v>
          </cell>
          <cell r="AP37" t="str">
            <v>https://www.secop.gov.co/CO1ContractsManagement/Tendering/ProcurementContractEdit/View?docUniqueIdentifier=CO1.PCCNTR.3326741</v>
          </cell>
          <cell r="AQ37">
            <v>44581</v>
          </cell>
          <cell r="AR37">
            <v>44581</v>
          </cell>
          <cell r="AS37">
            <v>301035505</v>
          </cell>
          <cell r="AT37" t="str">
            <v>ADMINISTRACION</v>
          </cell>
        </row>
        <row r="38">
          <cell r="A38">
            <v>37</v>
          </cell>
          <cell r="B38" t="str">
            <v>ALEJANDRO DELGADO LOZANO</v>
          </cell>
          <cell r="C38" t="str">
            <v>CD-DTAM NACION-CPS No. 037 - 2022</v>
          </cell>
          <cell r="D38" t="str">
            <v>JOHANNA LISBED QUINTERO JURADO</v>
          </cell>
          <cell r="E38">
            <v>59395312</v>
          </cell>
          <cell r="F38">
            <v>32018</v>
          </cell>
          <cell r="G38">
            <v>80111701</v>
          </cell>
          <cell r="H38" t="str">
            <v>11</v>
          </cell>
          <cell r="I38" t="str">
            <v>Prestar servicios profesionales para seguimiento y evaluación de la planeación interna desarrollando actividades administrativas, de ejecución presupuestal, planeación institucional y apoyo a la contratación del Santuario de Flora Plantas Medicinales Orito Ingi Ande en la vigencia 2022</v>
          </cell>
          <cell r="J38">
            <v>44583</v>
          </cell>
          <cell r="K38" t="str">
            <v>10 meses 28 dias</v>
          </cell>
          <cell r="L38">
            <v>36440800</v>
          </cell>
          <cell r="M38">
            <v>3333000</v>
          </cell>
          <cell r="N38" t="str">
            <v>SFPM ORITO INGI ANDE</v>
          </cell>
          <cell r="O38" t="str">
            <v>NO</v>
          </cell>
          <cell r="P38">
            <v>7722</v>
          </cell>
          <cell r="Q38">
            <v>20225190000793</v>
          </cell>
          <cell r="R38">
            <v>6722</v>
          </cell>
          <cell r="S38">
            <v>44584</v>
          </cell>
          <cell r="T38" t="str">
            <v>C-3202-0900-4-0-3202004-02</v>
          </cell>
          <cell r="U38" t="str">
            <v>SERVICIOS ADMINISTRATIVOS COMBINADOS DE OFICINA</v>
          </cell>
          <cell r="V38" t="str">
            <v>8211-6920</v>
          </cell>
          <cell r="W38" t="str">
            <v>301038512*23/01/2022</v>
          </cell>
          <cell r="Y38">
            <v>44584</v>
          </cell>
          <cell r="Z38">
            <v>44915</v>
          </cell>
          <cell r="AB38" t="str">
            <v>NA</v>
          </cell>
          <cell r="AC38" t="str">
            <v>WALKER EMELEC HOYOS GIRALDO</v>
          </cell>
          <cell r="AF38" t="str">
            <v>ORITO-PUTUMAYO</v>
          </cell>
          <cell r="AG38" t="str">
            <v>https://community.secop.gov.co/Public/Tendering/OpportunityDetail/Index?noticeUID=CO1.NTC.2669597&amp;isFromPublicArea=True&amp;isModal=False</v>
          </cell>
          <cell r="AH38">
            <v>328</v>
          </cell>
          <cell r="AI38" t="str">
            <v>6 NO CONSTITUYÓ GARANTÍAS</v>
          </cell>
          <cell r="AJ38" t="str">
            <v>SF Plantas Medicinales Orito Ingi-Ande</v>
          </cell>
          <cell r="AK38" t="str">
            <v>N/A</v>
          </cell>
          <cell r="AL38" t="str">
            <v>N/A</v>
          </cell>
          <cell r="AM38" t="str">
            <v>N/A</v>
          </cell>
          <cell r="AN38" t="str">
            <v>N/A</v>
          </cell>
          <cell r="AO38">
            <v>71114184</v>
          </cell>
          <cell r="AP38" t="str">
            <v>https://www.secop.gov.co/CO1ContractsManagement/Tendering/ProcurementContractEdit/View?docUniqueIdentifier=CO1.PCCNTR.3370490</v>
          </cell>
          <cell r="AQ38">
            <v>44583</v>
          </cell>
          <cell r="AR38">
            <v>44584</v>
          </cell>
          <cell r="AS38">
            <v>301038512</v>
          </cell>
          <cell r="AT38" t="str">
            <v>FORTALECIMIENTO</v>
          </cell>
        </row>
        <row r="39">
          <cell r="A39">
            <v>38</v>
          </cell>
          <cell r="B39" t="str">
            <v>ALEJANDRO DELGADO LOZANO</v>
          </cell>
          <cell r="C39" t="str">
            <v>CD-DTAM NACION-CPS No. 038 - 2022</v>
          </cell>
          <cell r="D39" t="str">
            <v>ROMARIO ALDAIN GOMEZ GALLEGO</v>
          </cell>
          <cell r="E39">
            <v>1124865219</v>
          </cell>
          <cell r="F39">
            <v>32002</v>
          </cell>
          <cell r="G39">
            <v>80111701</v>
          </cell>
          <cell r="H39" t="str">
            <v>11</v>
          </cell>
          <cell r="I39" t="str">
            <v>Prestar apoyo como operario para realizar actividades de servicios generales y el apoyo a actividades operativas administrativas del SF PMOIA en la vigencia 2022.</v>
          </cell>
          <cell r="J39">
            <v>44584</v>
          </cell>
          <cell r="K39" t="str">
            <v>11 meses</v>
          </cell>
          <cell r="L39">
            <v>15532000</v>
          </cell>
          <cell r="M39">
            <v>1412000</v>
          </cell>
          <cell r="N39" t="str">
            <v>SFPM ORITO INGI ANDE</v>
          </cell>
          <cell r="O39" t="str">
            <v>NO</v>
          </cell>
          <cell r="P39">
            <v>9822</v>
          </cell>
          <cell r="Q39">
            <v>20225190001333</v>
          </cell>
          <cell r="R39">
            <v>8822</v>
          </cell>
          <cell r="S39">
            <v>44586</v>
          </cell>
          <cell r="T39" t="str">
            <v>C-3202-0900-4-0-3202032-02</v>
          </cell>
          <cell r="U39" t="str">
            <v>OTROS SERVICIOS DE GESTIÓN, EXCEPTO LOS SERVICIOS DE ADMINISTRACIÓN DE PROYECTOS DE CONSTRUCCIÓN</v>
          </cell>
          <cell r="V39">
            <v>8299</v>
          </cell>
          <cell r="W39" t="str">
            <v>301042354*24/01/2022</v>
          </cell>
          <cell r="Y39">
            <v>44920</v>
          </cell>
          <cell r="Z39">
            <v>44919</v>
          </cell>
          <cell r="AB39" t="str">
            <v>NA</v>
          </cell>
          <cell r="AC39" t="str">
            <v>WALKER EMELEC HOYOS GIRALDO</v>
          </cell>
          <cell r="AF39" t="str">
            <v>ORITO-PUTUMAYO</v>
          </cell>
          <cell r="AG39" t="str">
            <v>https://community.secop.gov.co/Public/Tendering/OpportunityDetail/Index?noticeUID=CO1.NTC.2676447&amp;isFromPublicArea=True&amp;isModal=False</v>
          </cell>
          <cell r="AH39">
            <v>330</v>
          </cell>
          <cell r="AI39" t="str">
            <v>6 NO CONSTITUYÓ GARANTÍAS</v>
          </cell>
          <cell r="AJ39" t="str">
            <v>SF Plantas Medicinales Orito Ingi-Ande</v>
          </cell>
          <cell r="AK39" t="str">
            <v>N/A</v>
          </cell>
          <cell r="AL39" t="str">
            <v>N/A</v>
          </cell>
          <cell r="AM39" t="str">
            <v>N/A</v>
          </cell>
          <cell r="AN39" t="str">
            <v>N/A</v>
          </cell>
          <cell r="AO39">
            <v>71114184</v>
          </cell>
          <cell r="AP39" t="str">
            <v>https://www.secop.gov.co/CO1ContractsManagement/Tendering/ProcurementContractEdit/View?docUniqueIdentifier=CO1.PCCNTR.3398995</v>
          </cell>
          <cell r="AQ39">
            <v>44585</v>
          </cell>
          <cell r="AR39">
            <v>44585</v>
          </cell>
          <cell r="AS39">
            <v>301042354</v>
          </cell>
          <cell r="AT39" t="str">
            <v>ADMINISTRACION</v>
          </cell>
        </row>
        <row r="40">
          <cell r="A40">
            <v>39</v>
          </cell>
          <cell r="B40" t="str">
            <v>ALEJANDRO DELGADO LOZANO</v>
          </cell>
          <cell r="C40" t="str">
            <v>CD-DTAM NACION-CPS No. 039 - 2022</v>
          </cell>
          <cell r="D40" t="str">
            <v>PEDRO ELIAS CANAMEJOY MELO</v>
          </cell>
          <cell r="E40">
            <v>83161648</v>
          </cell>
          <cell r="F40">
            <v>32009</v>
          </cell>
          <cell r="G40">
            <v>80111701</v>
          </cell>
          <cell r="H40" t="str">
            <v>11</v>
          </cell>
          <cell r="I40" t="str">
            <v>Prestar apoyo técnico para el desarrollo y seguimiento del proceso de restauración ecológica y cultural en la Zona De Restauración Ecológica Cultural del SF PMOIA en la vigencia 2022.</v>
          </cell>
          <cell r="J40">
            <v>44584</v>
          </cell>
          <cell r="K40" t="str">
            <v>11 meses</v>
          </cell>
          <cell r="L40">
            <v>30932000</v>
          </cell>
          <cell r="M40">
            <v>2812000</v>
          </cell>
          <cell r="N40" t="str">
            <v>SFPM ORITO INGI ANDE</v>
          </cell>
          <cell r="O40" t="str">
            <v>NO</v>
          </cell>
          <cell r="P40">
            <v>11222</v>
          </cell>
          <cell r="Q40">
            <v>20225190001603</v>
          </cell>
          <cell r="R40">
            <v>8722</v>
          </cell>
          <cell r="S40">
            <v>44586</v>
          </cell>
          <cell r="T40" t="str">
            <v>C-3202-0900-4-0-3202031-02</v>
          </cell>
          <cell r="U40" t="str">
            <v>TODOS LOS DEMÁS SERVICIOS PROFESIONALES, TÉCNICOS Y EMPRESARIALES N.C.P</v>
          </cell>
          <cell r="V40" t="str">
            <v>8299-4799</v>
          </cell>
          <cell r="W40" t="str">
            <v>301043304*25/01/2022</v>
          </cell>
          <cell r="Y40">
            <v>44586</v>
          </cell>
          <cell r="Z40">
            <v>44919</v>
          </cell>
          <cell r="AB40" t="str">
            <v>NA</v>
          </cell>
          <cell r="AC40" t="str">
            <v>WALKER EMELEC HOYOS GIRALDO</v>
          </cell>
          <cell r="AF40" t="str">
            <v>ORITO-PUTUMAYO</v>
          </cell>
          <cell r="AG40" t="str">
            <v>https://community.secop.gov.co/Public/Tendering/OpportunityDetail/Index?noticeUID=CO1.NTC.2682771&amp;isFromPublicArea=True&amp;isModal=False</v>
          </cell>
          <cell r="AH40">
            <v>330</v>
          </cell>
          <cell r="AI40" t="str">
            <v>6 NO CONSTITUYÓ GARANTÍAS</v>
          </cell>
          <cell r="AJ40" t="str">
            <v>SF Plantas Medicinales Orito Ingi-Ande</v>
          </cell>
          <cell r="AK40" t="str">
            <v>N/A</v>
          </cell>
          <cell r="AL40" t="str">
            <v>N/A</v>
          </cell>
          <cell r="AM40" t="str">
            <v>N/A</v>
          </cell>
          <cell r="AN40" t="str">
            <v>N/A</v>
          </cell>
          <cell r="AO40">
            <v>71114184</v>
          </cell>
          <cell r="AP40" t="str">
            <v>https://www.secop.gov.co/CO1ContractsManagement/Tendering/ProcurementContractEdit/View?docUniqueIdentifier=CO1.PCCNTR.3394353</v>
          </cell>
          <cell r="AQ40">
            <v>44585</v>
          </cell>
          <cell r="AR40">
            <v>44586</v>
          </cell>
          <cell r="AS40">
            <v>301043304</v>
          </cell>
          <cell r="AT40" t="str">
            <v>ADMINISTRACION</v>
          </cell>
        </row>
        <row r="41">
          <cell r="A41">
            <v>40</v>
          </cell>
          <cell r="B41" t="str">
            <v>ALEJANDRO DELGADO LOZANO</v>
          </cell>
          <cell r="C41" t="str">
            <v>CD-DTAM NACION-CPS No. 040 - 2022</v>
          </cell>
          <cell r="D41" t="str">
            <v>SANTIAGO TORO DUQUE</v>
          </cell>
          <cell r="E41">
            <v>1026278637</v>
          </cell>
          <cell r="F41">
            <v>32013</v>
          </cell>
          <cell r="G41">
            <v>80111701</v>
          </cell>
          <cell r="H41" t="str">
            <v>11</v>
          </cell>
          <cell r="I41" t="str">
            <v>Prestar servicios profesionales para la implementación de las actividades de educación ambiental identificadas en la matriz cero del SF PMOIA para la vigencia 2022.</v>
          </cell>
          <cell r="J41">
            <v>44584</v>
          </cell>
          <cell r="K41" t="str">
            <v>8 meses 15 dias</v>
          </cell>
          <cell r="L41">
            <v>34850000</v>
          </cell>
          <cell r="M41">
            <v>4100000</v>
          </cell>
          <cell r="N41" t="str">
            <v>SFPM ORITO INGI ANDE</v>
          </cell>
          <cell r="O41" t="str">
            <v>NO</v>
          </cell>
          <cell r="P41">
            <v>13222</v>
          </cell>
          <cell r="Q41">
            <v>20225190001613</v>
          </cell>
          <cell r="R41">
            <v>9522</v>
          </cell>
          <cell r="S41">
            <v>44586</v>
          </cell>
          <cell r="T41" t="str">
            <v>C-3299-0900-2-0-3299060-02</v>
          </cell>
          <cell r="U41" t="str">
            <v>TODOS LOS DEMÁS SERVICIOS PROFESIONALES, TÉCNICOS Y EMPRESARIALES N.C.P</v>
          </cell>
          <cell r="V41">
            <v>7310</v>
          </cell>
          <cell r="W41" t="str">
            <v>301044980*25/01/2022</v>
          </cell>
          <cell r="Y41">
            <v>44586</v>
          </cell>
          <cell r="Z41">
            <v>44812</v>
          </cell>
          <cell r="AB41" t="str">
            <v>NA</v>
          </cell>
          <cell r="AC41" t="str">
            <v>WALKER EMELEC HOYOS GIRALDO</v>
          </cell>
          <cell r="AF41" t="str">
            <v>ORITO-PUTUMAYO</v>
          </cell>
          <cell r="AG41" t="str">
            <v>https://community.secop.gov.co/Public/Tendering/OpportunityDetail/Index?noticeUID=CO1.NTC.2708468&amp;isFromPublicArea=True&amp;isModal=False</v>
          </cell>
          <cell r="AH41">
            <v>255</v>
          </cell>
          <cell r="AI41" t="str">
            <v>6 NO CONSTITUYÓ GARANTÍAS</v>
          </cell>
          <cell r="AJ41" t="str">
            <v>SF Plantas Medicinales Orito Ingi-Ande</v>
          </cell>
          <cell r="AK41" t="str">
            <v>N/A</v>
          </cell>
          <cell r="AL41" t="str">
            <v>N/A</v>
          </cell>
          <cell r="AM41" t="str">
            <v>N/A</v>
          </cell>
          <cell r="AN41" t="str">
            <v>N/A</v>
          </cell>
          <cell r="AO41">
            <v>71114184</v>
          </cell>
          <cell r="AP41" t="str">
            <v>https://www.secop.gov.co/CO1ContractsManagement/Tendering/ProcurementContractEdit/View?docUniqueIdentifier=CO1.PCCNTR.3417356</v>
          </cell>
          <cell r="AQ41">
            <v>44586</v>
          </cell>
          <cell r="AR41">
            <v>44586</v>
          </cell>
          <cell r="AS41">
            <v>301044980</v>
          </cell>
          <cell r="AT41" t="str">
            <v>ADMINISTRACION</v>
          </cell>
        </row>
        <row r="42">
          <cell r="A42">
            <v>41</v>
          </cell>
          <cell r="B42" t="str">
            <v>ALEJANDRO DELGADO LOZANO</v>
          </cell>
          <cell r="C42" t="str">
            <v>CD-DTAM NACION-CPS No. 041 - 2022</v>
          </cell>
          <cell r="D42" t="str">
            <v xml:space="preserve">JULIETT MARITZA GONZALEZ CARVAJAL </v>
          </cell>
          <cell r="E42">
            <v>1052385536</v>
          </cell>
          <cell r="F42">
            <v>32011</v>
          </cell>
          <cell r="G42">
            <v>80111701</v>
          </cell>
          <cell r="H42" t="str">
            <v>11</v>
          </cell>
          <cell r="I42" t="str">
            <v>Prestar servicios profesionales para apoyar las acciones de investigación y monitoreo de las Prioridades Integrales de Conservación y apoyo en el programa de Restauración Ecológica y cultural en relación con el proceso de monitoreo del SF PMOIA en la vigencia 2022.</v>
          </cell>
          <cell r="J42">
            <v>44586</v>
          </cell>
          <cell r="K42" t="str">
            <v>10 meses 27 dias</v>
          </cell>
          <cell r="L42">
            <v>44689999</v>
          </cell>
          <cell r="M42">
            <v>4100000</v>
          </cell>
          <cell r="N42" t="str">
            <v>SFPM ORITO INGI ANDE</v>
          </cell>
          <cell r="O42" t="str">
            <v>NO</v>
          </cell>
          <cell r="P42">
            <v>11422</v>
          </cell>
          <cell r="Q42">
            <v>20225190001603</v>
          </cell>
          <cell r="R42">
            <v>9722</v>
          </cell>
          <cell r="S42">
            <v>44587</v>
          </cell>
          <cell r="T42" t="str">
            <v>C-3202-0900-4-0-3202008-02</v>
          </cell>
          <cell r="U42" t="str">
            <v>TODOS LOS DEMAS SERVICIOS PROFESIONALES, TÉCNICOS Y EMPRESARIALES N.C.P</v>
          </cell>
          <cell r="V42">
            <v>7210</v>
          </cell>
          <cell r="W42" t="str">
            <v>301048118*26/01/2022</v>
          </cell>
          <cell r="Y42">
            <v>44222</v>
          </cell>
          <cell r="Z42">
            <v>44916</v>
          </cell>
          <cell r="AB42" t="str">
            <v>NA</v>
          </cell>
          <cell r="AC42" t="str">
            <v>WALKER EMELEC HOYOS GIRALDO</v>
          </cell>
          <cell r="AF42" t="str">
            <v>ORITO-PUTUMAYO</v>
          </cell>
          <cell r="AG42" t="str">
            <v>https://community.secop.gov.co/Public/Tendering/OpportunityDetail/Index?noticeUID=CO1.NTC.2714627&amp;isFromPublicArea=True&amp;isModal=False</v>
          </cell>
          <cell r="AH42">
            <v>327</v>
          </cell>
          <cell r="AI42" t="str">
            <v>6 NO CONSTITUYÓ GARANTÍAS</v>
          </cell>
          <cell r="AJ42" t="str">
            <v>SF Plantas Medicinales Orito Ingi-Ande</v>
          </cell>
          <cell r="AK42" t="str">
            <v>N/A</v>
          </cell>
          <cell r="AL42" t="str">
            <v>N/A</v>
          </cell>
          <cell r="AM42" t="str">
            <v>N/A</v>
          </cell>
          <cell r="AN42" t="str">
            <v>N/A</v>
          </cell>
          <cell r="AO42">
            <v>71114184</v>
          </cell>
          <cell r="AP42" t="str">
            <v>https://www.secop.gov.co/CO1ContractsManagement/Tendering/ProcurementContractEdit/View?docUniqueIdentifier=CO1.PCCNTR.3426441</v>
          </cell>
          <cell r="AQ42">
            <v>44586</v>
          </cell>
          <cell r="AR42">
            <v>44587</v>
          </cell>
          <cell r="AS42">
            <v>301048118</v>
          </cell>
          <cell r="AT42" t="str">
            <v>ADMINISTRACION</v>
          </cell>
        </row>
        <row r="43">
          <cell r="A43">
            <v>42</v>
          </cell>
          <cell r="B43" t="str">
            <v>ALEJANDRO DELGADO LOZANO</v>
          </cell>
          <cell r="C43" t="str">
            <v>CD-DTAM NACION-CPS No. 042 - 2022</v>
          </cell>
          <cell r="D43" t="str">
            <v>ENAR ARLEY LUCITANTE PAYAGUAJE</v>
          </cell>
          <cell r="E43">
            <v>1126454352</v>
          </cell>
          <cell r="F43">
            <v>32012</v>
          </cell>
          <cell r="G43">
            <v>80111701</v>
          </cell>
          <cell r="H43" t="str">
            <v>11</v>
          </cell>
          <cell r="I43" t="str">
            <v>Prestar apoyo como operario para el desarrollo de acciones coordinadas con las autoridades tradicionales para el cumplimiento de los objetivos de conservación del SF PMOIA en la vigencia 202</v>
          </cell>
          <cell r="J43">
            <v>44587</v>
          </cell>
          <cell r="K43" t="str">
            <v>11 meses</v>
          </cell>
          <cell r="L43">
            <v>15532000</v>
          </cell>
          <cell r="M43">
            <v>1412000</v>
          </cell>
          <cell r="N43" t="str">
            <v>SFPM ORITO INGI ANDE</v>
          </cell>
          <cell r="O43" t="str">
            <v>NO</v>
          </cell>
          <cell r="P43">
            <v>11922</v>
          </cell>
          <cell r="Q43">
            <v>20225190001793</v>
          </cell>
          <cell r="R43">
            <v>11522</v>
          </cell>
          <cell r="S43">
            <v>44587</v>
          </cell>
          <cell r="T43" t="str">
            <v>C-3202-0900-4-0-3202008-02</v>
          </cell>
          <cell r="U43" t="str">
            <v>OTROS SERVICIOS DE GESTIÓN, EXCEPTO LOS SERVICIOS DE ADMINISTRACIÓN DE PROYECTOS DE CONSTRUCCIÓN</v>
          </cell>
          <cell r="V43">
            <v>10</v>
          </cell>
          <cell r="W43" t="str">
            <v>301048193*26/01/2022</v>
          </cell>
          <cell r="Y43">
            <v>44587</v>
          </cell>
          <cell r="Z43">
            <v>44588</v>
          </cell>
          <cell r="AB43" t="str">
            <v>NA</v>
          </cell>
          <cell r="AC43" t="str">
            <v>WALKER EMELEC HOYOS GIRALDO</v>
          </cell>
          <cell r="AF43" t="str">
            <v>ORITO-PUTUMAYO</v>
          </cell>
          <cell r="AG43" t="str">
            <v>https://community.secop.gov.co/Public/Tendering/OpportunityDetail/Index?noticeUID=CO1.NTC.2685462&amp;isFromPublicArea=True&amp;isModal=False</v>
          </cell>
          <cell r="AH43">
            <v>330</v>
          </cell>
          <cell r="AI43" t="str">
            <v>6 NO CONSTITUYÓ GARANTÍAS</v>
          </cell>
          <cell r="AJ43" t="str">
            <v>SF Plantas Medicinales Orito Ingi-Ande</v>
          </cell>
          <cell r="AK43" t="str">
            <v>N/A</v>
          </cell>
          <cell r="AL43" t="str">
            <v>N/A</v>
          </cell>
          <cell r="AM43" t="str">
            <v>N/A</v>
          </cell>
          <cell r="AN43" t="str">
            <v>N/A</v>
          </cell>
          <cell r="AO43">
            <v>71114184</v>
          </cell>
          <cell r="AP43" t="str">
            <v xml:space="preserve">LIQUIDADO </v>
          </cell>
          <cell r="AQ43" t="str">
            <v>N/A</v>
          </cell>
          <cell r="AR43">
            <v>44587</v>
          </cell>
          <cell r="AS43">
            <v>301048193</v>
          </cell>
          <cell r="AT43" t="str">
            <v>ADMINISTRACION</v>
          </cell>
        </row>
        <row r="44">
          <cell r="A44">
            <v>43</v>
          </cell>
          <cell r="B44" t="str">
            <v>ALEJANDRO DELGADO LOZANO</v>
          </cell>
          <cell r="C44" t="str">
            <v>CD-DTAM NACION-CPS No. 043 - 2022</v>
          </cell>
          <cell r="D44" t="str">
            <v>ZOILA MARIA TAIMAL</v>
          </cell>
          <cell r="E44">
            <v>1123201138</v>
          </cell>
          <cell r="F44">
            <v>32012</v>
          </cell>
          <cell r="G44">
            <v>80111701</v>
          </cell>
          <cell r="H44" t="str">
            <v>11</v>
          </cell>
          <cell r="I44" t="str">
            <v>Prestar apoyo como operario para el desarrollo de acciones coordinadas con las autoridades tradicionales, en especial con las abuelas, de los resguardos de Santa Rosa del Guamuez, Campoalegre del Afilador y Yarinal San Marcelino, que aporten al cumplimiento de los objetivos de conservación del SF PMOIA.</v>
          </cell>
          <cell r="J44">
            <v>44584</v>
          </cell>
          <cell r="K44" t="str">
            <v>11 meses</v>
          </cell>
          <cell r="L44">
            <v>15532000</v>
          </cell>
          <cell r="M44">
            <v>1412000</v>
          </cell>
          <cell r="N44" t="str">
            <v>SFPM ORITO INGI ANDE</v>
          </cell>
          <cell r="O44" t="str">
            <v>NO</v>
          </cell>
          <cell r="P44">
            <v>12022</v>
          </cell>
          <cell r="Q44">
            <v>20225190001803</v>
          </cell>
          <cell r="R44">
            <v>9022</v>
          </cell>
          <cell r="S44">
            <v>44586</v>
          </cell>
          <cell r="T44" t="str">
            <v>C-3202-0900-4-0-3202008-02</v>
          </cell>
          <cell r="U44" t="str">
            <v>OTROS SERVICIOS DE GESTIÓN, EXCEPTO LOS SERVICIOS DE ADMINISTRACIÓN DE PROYECTOS DE CONSTRUCCIÓN</v>
          </cell>
          <cell r="V44" t="str">
            <v>8211-5619</v>
          </cell>
          <cell r="W44" t="str">
            <v>301044947*25/01/2022</v>
          </cell>
          <cell r="Y44">
            <v>44586</v>
          </cell>
          <cell r="Z44">
            <v>44919</v>
          </cell>
          <cell r="AB44" t="str">
            <v>NA</v>
          </cell>
          <cell r="AC44" t="str">
            <v>WALKER EMELEC HOYOS GIRALDO</v>
          </cell>
          <cell r="AF44" t="str">
            <v>ORITO-PUTUMAYO</v>
          </cell>
          <cell r="AG44" t="str">
            <v>https://community.secop.gov.co/Public/Tendering/OpportunityDetail/Index?noticeUID=CO1.NTC.2685563&amp;isFromPublicArea=True&amp;isModal=False</v>
          </cell>
          <cell r="AH44">
            <v>330</v>
          </cell>
          <cell r="AI44" t="str">
            <v>6 NO CONSTITUYÓ GARANTÍAS</v>
          </cell>
          <cell r="AJ44" t="str">
            <v>SF Plantas Medicinales Orito Ingi-Ande</v>
          </cell>
          <cell r="AK44" t="str">
            <v>N/A</v>
          </cell>
          <cell r="AL44" t="str">
            <v>N/A</v>
          </cell>
          <cell r="AM44" t="str">
            <v>N/A</v>
          </cell>
          <cell r="AN44" t="str">
            <v>N/A</v>
          </cell>
          <cell r="AO44">
            <v>71114184</v>
          </cell>
          <cell r="AP44" t="str">
            <v>https://www.secop.gov.co/CO1ContractsManagement/Tendering/ProcurementContractEdit/View?docUniqueIdentifier=CO1.PCCNTR.3411732</v>
          </cell>
          <cell r="AQ44">
            <v>44617</v>
          </cell>
          <cell r="AR44">
            <v>44586</v>
          </cell>
          <cell r="AS44">
            <v>301044947</v>
          </cell>
          <cell r="AT44" t="str">
            <v>ADMINISTRACION</v>
          </cell>
        </row>
        <row r="45">
          <cell r="A45">
            <v>44</v>
          </cell>
          <cell r="B45" t="str">
            <v>ALEJANDRO DELGADO LOZANO</v>
          </cell>
          <cell r="C45" t="str">
            <v>CD-DTAM NACION-CPS No. 044 - 2022</v>
          </cell>
          <cell r="D45" t="str">
            <v>ANDERSON MARTINEZ RUALES</v>
          </cell>
          <cell r="E45">
            <v>1123335541</v>
          </cell>
          <cell r="F45">
            <v>32002</v>
          </cell>
          <cell r="G45">
            <v>80111701</v>
          </cell>
          <cell r="H45" t="str">
            <v>11</v>
          </cell>
          <cell r="I45" t="str">
            <v>Prestar apoyo como operario para la realización de actividades de Prevención, Vigilancia y Control del SF PMOIA, con énfasis en las veredas aledañas en la Zona con Función Amortiguadora del SF PMOIA.</v>
          </cell>
          <cell r="J45">
            <v>44587</v>
          </cell>
          <cell r="K45" t="str">
            <v>11 meses</v>
          </cell>
          <cell r="L45">
            <v>15532000</v>
          </cell>
          <cell r="M45">
            <v>1412000</v>
          </cell>
          <cell r="N45" t="str">
            <v>SFPM ORITO INGI ANDE</v>
          </cell>
          <cell r="O45" t="str">
            <v>NO</v>
          </cell>
          <cell r="P45">
            <v>12122</v>
          </cell>
          <cell r="Q45">
            <v>20225190001883</v>
          </cell>
          <cell r="R45">
            <v>11722</v>
          </cell>
          <cell r="S45">
            <v>44587</v>
          </cell>
          <cell r="T45" t="str">
            <v>C-3202-0900-4-0-3202032-02</v>
          </cell>
          <cell r="U45" t="str">
            <v>OTROS SERVICIOS DE GESTIÓN, EXCEPTO LOS SERVICIOS DE ADMINISTRACIÓN DE PROYECTOS DE CONSTRUCCIÓN</v>
          </cell>
          <cell r="V45" t="str">
            <v>8211-1072</v>
          </cell>
          <cell r="W45" t="str">
            <v>301048270*26/01/2022</v>
          </cell>
          <cell r="Y45">
            <v>44587</v>
          </cell>
          <cell r="Z45">
            <v>44920</v>
          </cell>
          <cell r="AB45" t="str">
            <v>NA</v>
          </cell>
          <cell r="AC45" t="str">
            <v>WALKER EMELEC HOYOS GIRALDO</v>
          </cell>
          <cell r="AF45" t="str">
            <v>ORITO-PUTUMAYO</v>
          </cell>
          <cell r="AG45" t="str">
            <v>https://community.secop.gov.co/Public/Tendering/OpportunityDetail/Index?noticeUID=CO1.NTC.2685667&amp;isFromPublicArea=True&amp;isModal=False</v>
          </cell>
          <cell r="AH45">
            <v>330</v>
          </cell>
          <cell r="AI45" t="str">
            <v>6 NO CONSTITUYÓ GARANTÍAS</v>
          </cell>
          <cell r="AJ45" t="str">
            <v>SF Plantas Medicinales Orito Ingi-Ande</v>
          </cell>
          <cell r="AK45" t="str">
            <v>N/A</v>
          </cell>
          <cell r="AL45" t="str">
            <v>N/A</v>
          </cell>
          <cell r="AM45" t="str">
            <v>N/A</v>
          </cell>
          <cell r="AN45" t="str">
            <v>N/A</v>
          </cell>
          <cell r="AO45">
            <v>71114184</v>
          </cell>
          <cell r="AP45" t="str">
            <v>https://www.secop.gov.co/CO1ContractsManagement/Tendering/ProcurementContractEdit/View?docUniqueIdentifier=CO1.PCCNTR.3441931</v>
          </cell>
          <cell r="AQ45">
            <v>44587</v>
          </cell>
          <cell r="AR45">
            <v>44587</v>
          </cell>
          <cell r="AS45">
            <v>301048270</v>
          </cell>
          <cell r="AT45" t="str">
            <v>ADMINISTRACION</v>
          </cell>
        </row>
        <row r="46">
          <cell r="A46">
            <v>45</v>
          </cell>
          <cell r="B46" t="str">
            <v>NORYLY AGUIRRE OTALORA</v>
          </cell>
          <cell r="C46" t="str">
            <v>CD-DTAM NACION-CPS No. 045 - 2022</v>
          </cell>
          <cell r="D46" t="str">
            <v>DANIEL FELIPE GOMEZ RAMOS</v>
          </cell>
          <cell r="E46">
            <v>1118473558</v>
          </cell>
          <cell r="F46">
            <v>22003</v>
          </cell>
          <cell r="G46">
            <v>80111701</v>
          </cell>
          <cell r="H46" t="str">
            <v>11</v>
          </cell>
          <cell r="I46" t="str">
            <v>Prestar servicios profesionales en los procesos de ordenamiento, reservas naturales de la sociedad civil y sistemas sostenibles para la conservación del Parque Nacional Natural Alto Fragua Indi Wasi durante la vigencia 2022</v>
          </cell>
          <cell r="J46">
            <v>44581</v>
          </cell>
          <cell r="K46" t="str">
            <v>10 meses 29 dIas</v>
          </cell>
          <cell r="L46">
            <v>36551900</v>
          </cell>
          <cell r="M46">
            <v>3333000</v>
          </cell>
          <cell r="N46" t="str">
            <v>PNN ALTO FRAGUA IW</v>
          </cell>
          <cell r="O46" t="str">
            <v>NO</v>
          </cell>
          <cell r="P46">
            <v>7922</v>
          </cell>
          <cell r="Q46">
            <v>20225000000653</v>
          </cell>
          <cell r="R46">
            <v>4822</v>
          </cell>
          <cell r="S46">
            <v>44582</v>
          </cell>
          <cell r="T46" t="str">
            <v>C-3202-0900-4-0-3202032-02</v>
          </cell>
          <cell r="V46">
            <v>9609</v>
          </cell>
          <cell r="W46">
            <v>301035505</v>
          </cell>
          <cell r="Y46">
            <v>44582</v>
          </cell>
          <cell r="Z46">
            <v>44914</v>
          </cell>
          <cell r="AB46" t="str">
            <v>NA</v>
          </cell>
          <cell r="AC46" t="str">
            <v>ANGELICA CARVAJAL RUEDA</v>
          </cell>
          <cell r="AF46" t="str">
            <v>San José del Fragua, Belén de los Andaquíes y Florencia</v>
          </cell>
          <cell r="AG46" t="str">
            <v>https://community.secop.gov.co/Public/Tendering/ContractNoticePhases/View?PPI=CO1.PPI.16937265&amp;isFromPublicArea=True&amp;isModal=False</v>
          </cell>
          <cell r="AH46">
            <v>329</v>
          </cell>
          <cell r="AI46" t="str">
            <v>6 NO CONSTITUYÓ GARANTÍAS</v>
          </cell>
          <cell r="AJ46" t="str">
            <v>PNN Alto Fragua Indi Wasi</v>
          </cell>
          <cell r="AK46" t="str">
            <v>N/A</v>
          </cell>
          <cell r="AL46" t="str">
            <v>N/A</v>
          </cell>
          <cell r="AM46" t="str">
            <v>N/A</v>
          </cell>
          <cell r="AN46" t="str">
            <v>N/A</v>
          </cell>
          <cell r="AO46">
            <v>28557787</v>
          </cell>
          <cell r="AP46" t="str">
            <v>https://www.secop.gov.co/CO1ContractsManagement/Tendering/ProcurementContractEdit/View?docUniqueIdentifier=CO1.PCCNTR.3335974</v>
          </cell>
          <cell r="AQ46">
            <v>44582</v>
          </cell>
          <cell r="AR46">
            <v>44582</v>
          </cell>
          <cell r="AS46">
            <v>301037375</v>
          </cell>
          <cell r="AT46" t="str">
            <v>ADMINISTRACION</v>
          </cell>
        </row>
        <row r="47">
          <cell r="A47">
            <v>46</v>
          </cell>
          <cell r="B47" t="str">
            <v>NORYLY AGUIRRE OTALORA</v>
          </cell>
          <cell r="C47" t="str">
            <v>CD-DTAM NACION-CPS No. 046 - 2022</v>
          </cell>
          <cell r="D47" t="str">
            <v>RAMIRO TORRES MANCHOLA</v>
          </cell>
          <cell r="E47">
            <v>17616147</v>
          </cell>
          <cell r="F47">
            <v>22010</v>
          </cell>
          <cell r="G47">
            <v>80111701</v>
          </cell>
          <cell r="H47" t="str">
            <v>11</v>
          </cell>
          <cell r="I47" t="str">
            <v>Prestar servicios profesionales para implementar y hacer seguimiento a las medidas transitorias para la atención de la población campesina relacionada con el Parque Nacional Natural Alto Fragua Indi Wasi.</v>
          </cell>
          <cell r="J47">
            <v>44581</v>
          </cell>
          <cell r="K47" t="str">
            <v>10 meses 29 dIas</v>
          </cell>
          <cell r="L47">
            <v>51324000</v>
          </cell>
          <cell r="M47">
            <v>4860000</v>
          </cell>
          <cell r="N47" t="str">
            <v>PNN ALTO FRAGUA IW</v>
          </cell>
          <cell r="O47" t="str">
            <v>SI</v>
          </cell>
          <cell r="P47">
            <v>9222</v>
          </cell>
          <cell r="Q47">
            <v>20225000000663</v>
          </cell>
          <cell r="R47">
            <v>4922</v>
          </cell>
          <cell r="S47">
            <v>44582</v>
          </cell>
          <cell r="T47" t="str">
            <v>C-3299-0900-2-0-3299060-02</v>
          </cell>
          <cell r="V47">
            <v>7490</v>
          </cell>
          <cell r="W47">
            <v>301037386</v>
          </cell>
          <cell r="Y47">
            <v>44582</v>
          </cell>
          <cell r="Z47">
            <v>44914</v>
          </cell>
          <cell r="AB47" t="str">
            <v>14-44-101145723</v>
          </cell>
          <cell r="AC47" t="str">
            <v>ANGELICA CARVAJAL RUEDA</v>
          </cell>
          <cell r="AF47" t="str">
            <v>San José del Fragua, Belén de los Andaquíes y Florencia</v>
          </cell>
          <cell r="AG47" t="str">
            <v>https://community.secop.gov.co/Public/Tendering/ContractNoticePhases/View?PPI=CO1.PPI.16941651&amp;isFromPublicArea=True&amp;isModal=False</v>
          </cell>
          <cell r="AH47">
            <v>329</v>
          </cell>
          <cell r="AI47" t="str">
            <v>1 PÓLIZA</v>
          </cell>
          <cell r="AJ47" t="str">
            <v>PNN Alto Fragua Indi Wasi</v>
          </cell>
          <cell r="AK47" t="str">
            <v>12 SEGUROS DEL ESTADO</v>
          </cell>
          <cell r="AL47">
            <v>44582</v>
          </cell>
          <cell r="AM47" t="str">
            <v>14-44-101145723</v>
          </cell>
          <cell r="AN47">
            <v>44582</v>
          </cell>
          <cell r="AO47">
            <v>28557787</v>
          </cell>
          <cell r="AP47" t="str">
            <v>https://www.secop.gov.co/CO1ContractsManagement/Tendering/ProcurementContractEdit/View?docUniqueIdentifier=CO1.PCCNTR.3336949</v>
          </cell>
          <cell r="AQ47">
            <v>44582</v>
          </cell>
          <cell r="AR47">
            <v>44582</v>
          </cell>
          <cell r="AS47">
            <v>301037386</v>
          </cell>
          <cell r="AT47" t="str">
            <v>ADMINISTRACION</v>
          </cell>
        </row>
        <row r="48">
          <cell r="A48">
            <v>47</v>
          </cell>
          <cell r="B48" t="str">
            <v>NORYLY AGUIRRE OTALORA</v>
          </cell>
          <cell r="C48" t="str">
            <v>CD-DTAM NACION-CPS No. 047 - 2022</v>
          </cell>
          <cell r="D48" t="str">
            <v>ROBINSON GARCIA ROJAS</v>
          </cell>
          <cell r="E48">
            <v>17616115</v>
          </cell>
          <cell r="F48">
            <v>22003</v>
          </cell>
          <cell r="G48">
            <v>80111701</v>
          </cell>
          <cell r="H48" t="str">
            <v>11</v>
          </cell>
          <cell r="I48" t="str">
            <v>Prestar servicios profesionales para implementar el protocolo de prevención, vigilancia y control del Parque Nacional Natural Alto Fragua Indi Wasi durante la vigencia 2022</v>
          </cell>
          <cell r="J48">
            <v>44582</v>
          </cell>
          <cell r="K48" t="str">
            <v>10 meses 29 dIas</v>
          </cell>
          <cell r="L48">
            <v>51324000</v>
          </cell>
          <cell r="M48">
            <v>4680000</v>
          </cell>
          <cell r="N48" t="str">
            <v>PNN ALTO FRAGUA IW</v>
          </cell>
          <cell r="O48" t="str">
            <v>SI</v>
          </cell>
          <cell r="P48">
            <v>8022</v>
          </cell>
          <cell r="Q48">
            <v>20225000000713</v>
          </cell>
          <cell r="R48">
            <v>5522</v>
          </cell>
          <cell r="S48">
            <v>44582</v>
          </cell>
          <cell r="T48" t="str">
            <v>C-3202-0900-4-0-3202032-02</v>
          </cell>
          <cell r="V48">
            <v>7490</v>
          </cell>
          <cell r="W48">
            <v>301037411</v>
          </cell>
          <cell r="Y48">
            <v>44582</v>
          </cell>
          <cell r="Z48">
            <v>44914</v>
          </cell>
          <cell r="AB48" t="str">
            <v>14-44-101145761</v>
          </cell>
          <cell r="AC48" t="str">
            <v>ANGELICA CARVAJAL RUEDA</v>
          </cell>
          <cell r="AF48" t="str">
            <v>San José del Fragua, Belén de los Andaquíes y Florencia</v>
          </cell>
          <cell r="AG48" t="str">
            <v>https://community.secop.gov.co/Public/Tendering/ContractNoticePhases/View?PPI=CO1.PPI.16944674&amp;isFromPublicArea=True&amp;isModal=False</v>
          </cell>
          <cell r="AH48">
            <v>329</v>
          </cell>
          <cell r="AI48" t="str">
            <v>1 PÓLIZA</v>
          </cell>
          <cell r="AJ48" t="str">
            <v>PNN Alto Fragua Indi Wasi</v>
          </cell>
          <cell r="AK48" t="str">
            <v>12 SEGUROS DEL ESTADO</v>
          </cell>
          <cell r="AL48">
            <v>44582</v>
          </cell>
          <cell r="AM48" t="str">
            <v>14-44-101145761</v>
          </cell>
          <cell r="AN48">
            <v>44582</v>
          </cell>
          <cell r="AO48">
            <v>28557787</v>
          </cell>
          <cell r="AP48" t="str">
            <v>https://www.secop.gov.co/CO1ContractsManagement/Tendering/ProcurementContractEdit/View?docUniqueIdentifier=CO1.PCCNTR.3338330</v>
          </cell>
          <cell r="AQ48">
            <v>44582</v>
          </cell>
          <cell r="AR48">
            <v>44582</v>
          </cell>
          <cell r="AS48">
            <v>301037411</v>
          </cell>
          <cell r="AT48" t="str">
            <v>ADMINISTRACION</v>
          </cell>
        </row>
        <row r="49">
          <cell r="A49">
            <v>48</v>
          </cell>
          <cell r="B49" t="str">
            <v>NORYLY AGUIRRE OTALORA</v>
          </cell>
          <cell r="C49" t="str">
            <v>CD-DTAM NACION-CPS No. 048 - 2022</v>
          </cell>
          <cell r="D49" t="str">
            <v>ABNER JARMINTON ORTIZ CANAMEJOY</v>
          </cell>
          <cell r="E49">
            <v>1135014116</v>
          </cell>
          <cell r="F49">
            <v>28014</v>
          </cell>
          <cell r="G49">
            <v>80111701</v>
          </cell>
          <cell r="H49" t="str">
            <v>11</v>
          </cell>
          <cell r="I49" t="str">
            <v>Prestar servicios Profesionales y de apoyo a la gestión operativa y comunitaria de los procesos Estrategias Especiales de Manejo y de planeación del manejo con comunidades indígenas y campesinas del Parque Nacional Natural Serranía de los Churumbelos Auka Wasi en los Municipios con injerencia en el Parque</v>
          </cell>
          <cell r="J49">
            <v>44582</v>
          </cell>
          <cell r="K49" t="str">
            <v>10 meses 27 dias</v>
          </cell>
          <cell r="L49">
            <v>44690000</v>
          </cell>
          <cell r="M49">
            <v>4100000</v>
          </cell>
          <cell r="N49" t="str">
            <v>PNN CHURUMBELOS</v>
          </cell>
          <cell r="O49" t="str">
            <v>NO</v>
          </cell>
          <cell r="P49">
            <v>9922</v>
          </cell>
          <cell r="Q49">
            <v>20225000000943</v>
          </cell>
          <cell r="R49">
            <v>7322</v>
          </cell>
          <cell r="S49">
            <v>44585</v>
          </cell>
          <cell r="T49" t="str">
            <v>C-3202-0900-4-0-3202008-02</v>
          </cell>
          <cell r="V49">
            <v>7210</v>
          </cell>
          <cell r="W49">
            <v>7210</v>
          </cell>
          <cell r="Y49">
            <v>44585</v>
          </cell>
          <cell r="Z49">
            <v>44915</v>
          </cell>
          <cell r="AB49" t="str">
            <v>NA</v>
          </cell>
          <cell r="AC49" t="str">
            <v>FLABIO ARMANDO HERRERA CAICEDO</v>
          </cell>
          <cell r="AF49" t="str">
            <v>Mocoa, municipio de Piamonte (Cauca), municipio de Santa Rosa (Cauca) y Palestina (Huila)</v>
          </cell>
          <cell r="AG49" t="str">
            <v>https://community.secop.gov.co/Public/Tendering/ContractNoticePhases/View?PPI=CO1.PPI.16952592&amp;isFromPublicArea=True&amp;isModal=False</v>
          </cell>
          <cell r="AH49">
            <v>327</v>
          </cell>
          <cell r="AI49" t="str">
            <v>6 NO CONSTITUYÓ GARANTÍAS</v>
          </cell>
          <cell r="AJ49" t="str">
            <v>PNN Serranía de Los Churumbelos</v>
          </cell>
          <cell r="AK49" t="str">
            <v>N/A</v>
          </cell>
          <cell r="AL49" t="str">
            <v>N/A</v>
          </cell>
          <cell r="AM49" t="str">
            <v>N/A</v>
          </cell>
          <cell r="AN49" t="str">
            <v>N/A</v>
          </cell>
          <cell r="AO49">
            <v>19481189</v>
          </cell>
          <cell r="AP49" t="str">
            <v>https://www.secop.gov.co/CO1ContractsManagement/Tendering/ProcurementContractEdit/View?docUniqueIdentifier=CO1.PCCNTR.3370959</v>
          </cell>
          <cell r="AQ49">
            <v>44583</v>
          </cell>
          <cell r="AR49">
            <v>44586</v>
          </cell>
          <cell r="AS49">
            <v>301044573</v>
          </cell>
          <cell r="AT49" t="str">
            <v>ADMINISTRACION</v>
          </cell>
        </row>
        <row r="50">
          <cell r="A50">
            <v>49</v>
          </cell>
          <cell r="B50" t="str">
            <v>LAURA CAROLINA CORREA RAMIREZ</v>
          </cell>
          <cell r="C50" t="str">
            <v>CD-DTAM NACION-CPS No. 049 - 2022</v>
          </cell>
          <cell r="D50" t="str">
            <v>WILFREDO JAVIER SANCHEZ GREGORIO</v>
          </cell>
          <cell r="E50">
            <v>1122266459</v>
          </cell>
          <cell r="F50">
            <v>23020</v>
          </cell>
          <cell r="G50">
            <v>80111701</v>
          </cell>
          <cell r="H50" t="str">
            <v>11</v>
          </cell>
          <cell r="I50" t="str">
            <v>Prestar los servicios asistenciales y de apoyo a la gestión en actividades de monitoreo para una mejor regulación del uso con énfasis en las actividades de fortalecimiento a la gobernanza ambiental en el Parque Nacional Natural Amacayacu</v>
          </cell>
          <cell r="J50">
            <v>44582</v>
          </cell>
          <cell r="K50" t="str">
            <v>11 meses 7 dias</v>
          </cell>
          <cell r="L50">
            <v>15861467</v>
          </cell>
          <cell r="M50">
            <v>1412000</v>
          </cell>
          <cell r="N50" t="str">
            <v>PNN AMACAYACU</v>
          </cell>
          <cell r="O50" t="str">
            <v>NO</v>
          </cell>
          <cell r="P50">
            <v>5022</v>
          </cell>
          <cell r="Q50">
            <v>20225120000493</v>
          </cell>
          <cell r="R50">
            <v>8422</v>
          </cell>
          <cell r="S50">
            <v>44586</v>
          </cell>
          <cell r="T50" t="str">
            <v>C-3202-0900-4-0-3202008-02</v>
          </cell>
          <cell r="W50">
            <v>301045094</v>
          </cell>
          <cell r="Y50">
            <v>44586</v>
          </cell>
          <cell r="Z50">
            <v>44925</v>
          </cell>
          <cell r="AB50" t="str">
            <v>NA</v>
          </cell>
          <cell r="AC50" t="str">
            <v>ELIANA MARTINEZ RUEDA</v>
          </cell>
          <cell r="AF50" t="str">
            <v>Leticia, PNN Amacayacu</v>
          </cell>
          <cell r="AG50" t="str">
            <v>https://community.secop.gov.co/Public/Tendering/OpportunityDetail/Index?noticeUID=CO1.NTC.2688260&amp;isFromPublicArea=True&amp;isModal=False</v>
          </cell>
          <cell r="AH50">
            <v>337</v>
          </cell>
          <cell r="AI50" t="str">
            <v>6 NO CONSTITUYÓ GARANTÍAS</v>
          </cell>
          <cell r="AJ50" t="str">
            <v>PNN Amacayacu</v>
          </cell>
          <cell r="AK50" t="str">
            <v>N/A</v>
          </cell>
          <cell r="AL50" t="str">
            <v>N/A</v>
          </cell>
          <cell r="AM50" t="str">
            <v>N/A</v>
          </cell>
          <cell r="AN50" t="str">
            <v>N/A</v>
          </cell>
          <cell r="AO50">
            <v>51935320</v>
          </cell>
          <cell r="AP50" t="str">
            <v>https://www.secop.gov.co/CO1ContractsManagement/Tendering/ProcurementContractEdit/View?docUniqueIdentifier=CO1.PCCNTR.3392486</v>
          </cell>
          <cell r="AQ50">
            <v>44585</v>
          </cell>
          <cell r="AR50">
            <v>44586</v>
          </cell>
          <cell r="AS50">
            <v>301045094</v>
          </cell>
          <cell r="AT50" t="str">
            <v>ADMINISTRACION</v>
          </cell>
        </row>
        <row r="51">
          <cell r="A51">
            <v>50</v>
          </cell>
          <cell r="B51" t="str">
            <v>NORYLY AGUIRRE OTALORA</v>
          </cell>
          <cell r="C51" t="str">
            <v>CD-DTAM NACION-CPS No. 050 - 2022</v>
          </cell>
          <cell r="D51" t="str">
            <v>YEISON FELIPE BECERRA MACIAS</v>
          </cell>
          <cell r="E51">
            <v>1127077392</v>
          </cell>
          <cell r="F51">
            <v>28004</v>
          </cell>
          <cell r="G51">
            <v>80111701</v>
          </cell>
          <cell r="H51" t="str">
            <v>11</v>
          </cell>
          <cell r="I51" t="str">
            <v>Prestar apoyo Operario a la gestión para adelantar actividades de control y vigilancia en el Parque Nacional Natural Serranía de los Churumbelos Auka Wasi</v>
          </cell>
          <cell r="J51">
            <v>44583</v>
          </cell>
          <cell r="K51" t="str">
            <v>11 meses</v>
          </cell>
          <cell r="L51">
            <v>15532000</v>
          </cell>
          <cell r="M51">
            <v>1412000</v>
          </cell>
          <cell r="N51" t="str">
            <v>PNN CHURUMBELOS</v>
          </cell>
          <cell r="O51" t="str">
            <v>NO</v>
          </cell>
          <cell r="P51">
            <v>9622</v>
          </cell>
          <cell r="Q51">
            <v>20225000000953</v>
          </cell>
          <cell r="R51">
            <v>7422</v>
          </cell>
          <cell r="S51">
            <v>44585</v>
          </cell>
          <cell r="T51" t="str">
            <v>C-3202-0900-4-0-3202032-02</v>
          </cell>
          <cell r="V51">
            <v>9103</v>
          </cell>
          <cell r="W51">
            <v>301044724</v>
          </cell>
          <cell r="Y51">
            <v>44585</v>
          </cell>
          <cell r="Z51">
            <v>44918</v>
          </cell>
          <cell r="AB51" t="str">
            <v>NA</v>
          </cell>
          <cell r="AC51" t="str">
            <v>FLABIO ARMANDO HERRERA CAICEDO</v>
          </cell>
          <cell r="AF51" t="str">
            <v>Piamonte (Cauca)</v>
          </cell>
          <cell r="AG51" t="str">
            <v>https://community.secop.gov.co/Public/Tendering/ContractNoticePhases/View?PPI=CO1.PPI.16959266&amp;isFromPublicArea=True&amp;isModal=False</v>
          </cell>
          <cell r="AH51">
            <v>330</v>
          </cell>
          <cell r="AI51" t="str">
            <v>6 NO CONSTITUYÓ GARANTÍAS</v>
          </cell>
          <cell r="AJ51" t="str">
            <v>PNN Serranía de Los Churumbelos</v>
          </cell>
          <cell r="AK51" t="str">
            <v>N/A</v>
          </cell>
          <cell r="AL51" t="str">
            <v>N/A</v>
          </cell>
          <cell r="AM51" t="str">
            <v>N/A</v>
          </cell>
          <cell r="AN51" t="str">
            <v>N/A</v>
          </cell>
          <cell r="AO51">
            <v>19481189</v>
          </cell>
          <cell r="AP51" t="str">
            <v>https://www.secop.gov.co/CO1ContractsManagement/Tendering/ProcurementContractEdit/View?docUniqueIdentifier=CO1.PCCNTR.3370961</v>
          </cell>
          <cell r="AQ51">
            <v>44583</v>
          </cell>
          <cell r="AR51">
            <v>44586</v>
          </cell>
          <cell r="AS51">
            <v>301044724</v>
          </cell>
          <cell r="AT51" t="str">
            <v>ADMINISTRACION</v>
          </cell>
        </row>
        <row r="52">
          <cell r="A52">
            <v>51</v>
          </cell>
          <cell r="B52" t="str">
            <v>LAURA CAROLINA CORREA RAMIREZ</v>
          </cell>
          <cell r="C52" t="str">
            <v>CD-DTAM NACION-CPS No. 051 - 2022</v>
          </cell>
          <cell r="D52" t="str">
            <v>ZAQUEO BARRIOS SÁNCHEZ</v>
          </cell>
          <cell r="E52">
            <v>1121208185</v>
          </cell>
          <cell r="F52">
            <v>23020</v>
          </cell>
          <cell r="G52">
            <v>80111701</v>
          </cell>
          <cell r="H52" t="str">
            <v>11</v>
          </cell>
          <cell r="I52" t="str">
            <v>Prestar servicios asistenciales y de apoyo a la gestión en actividades de Ordenamiento Ambiental y Estrategias de fortalecimiento a la gobernabilidad con las comunidades del sector norte del PNN Amacayacu</v>
          </cell>
          <cell r="J52">
            <v>44582</v>
          </cell>
          <cell r="K52" t="str">
            <v>11 meses</v>
          </cell>
          <cell r="L52">
            <v>15532000</v>
          </cell>
          <cell r="M52">
            <v>1412000</v>
          </cell>
          <cell r="N52" t="str">
            <v>PNN AMACAYACU</v>
          </cell>
          <cell r="O52" t="str">
            <v>NO</v>
          </cell>
          <cell r="P52">
            <v>8322</v>
          </cell>
          <cell r="R52">
            <v>8622</v>
          </cell>
          <cell r="S52">
            <v>44586</v>
          </cell>
          <cell r="T52" t="str">
            <v>C-3202-0900-4-0-3202008-02</v>
          </cell>
          <cell r="W52">
            <v>301044938</v>
          </cell>
          <cell r="Y52">
            <v>44586</v>
          </cell>
          <cell r="Z52">
            <v>44919</v>
          </cell>
          <cell r="AB52" t="str">
            <v>NA</v>
          </cell>
          <cell r="AC52" t="str">
            <v>ELIANA MARTINEZ RUEDA</v>
          </cell>
          <cell r="AF52" t="str">
            <v>Leticia, PNN Amacayacu</v>
          </cell>
          <cell r="AG52" t="str">
            <v>https://community.secop.gov.co/Public/Tendering/OpportunityDetail/Index?noticeUID=CO1.NTC.2695188&amp;isFromPublicArea=True&amp;isModal=False</v>
          </cell>
          <cell r="AH52">
            <v>330</v>
          </cell>
          <cell r="AI52" t="str">
            <v>6 NO CONSTITUYÓ GARANTÍAS</v>
          </cell>
          <cell r="AJ52" t="str">
            <v>PNN Amacayacu</v>
          </cell>
          <cell r="AK52" t="str">
            <v>N/A</v>
          </cell>
          <cell r="AL52" t="str">
            <v>N/A</v>
          </cell>
          <cell r="AM52" t="str">
            <v>N/A</v>
          </cell>
          <cell r="AN52" t="str">
            <v>N/A</v>
          </cell>
          <cell r="AO52">
            <v>51935320</v>
          </cell>
          <cell r="AP52" t="str">
            <v>https://www.secop.gov.co/CO1ContractsManagement/Tendering/ProcurementContractEdit/View?docUniqueIdentifier=CO1.PCCNTR.3400809</v>
          </cell>
          <cell r="AQ52">
            <v>44585</v>
          </cell>
          <cell r="AR52">
            <v>44586</v>
          </cell>
          <cell r="AS52">
            <v>301044938</v>
          </cell>
          <cell r="AT52" t="str">
            <v>ADMINISTRACION</v>
          </cell>
        </row>
        <row r="53">
          <cell r="A53">
            <v>52</v>
          </cell>
          <cell r="B53" t="str">
            <v>NORYLY AGUIRRE OTALORA</v>
          </cell>
          <cell r="C53" t="str">
            <v>CD-DTAM NACION-CPS No. 052 - 2022_2</v>
          </cell>
          <cell r="D53" t="str">
            <v>ANDRES FABIAN VALBUENA LOZANO</v>
          </cell>
          <cell r="E53">
            <v>80131060</v>
          </cell>
          <cell r="F53">
            <v>31008</v>
          </cell>
          <cell r="G53">
            <v>80111701</v>
          </cell>
          <cell r="H53" t="str">
            <v>11</v>
          </cell>
          <cell r="I53" t="str">
            <v>Prestar apoyo técnico, para realizar seguimiento de los instrumentos de planeación, como la ejecución presupuestal, apoyo manejo de inventarios, apoyo a la contratación y de soporte a los mecanismos de planeación, evaluación, seguimiento y Sistema Integrado de Gestión de la RNN Puinawai</v>
          </cell>
          <cell r="J53">
            <v>44585</v>
          </cell>
          <cell r="K53" t="str">
            <v>11 meses</v>
          </cell>
          <cell r="L53">
            <v>25630000</v>
          </cell>
          <cell r="M53">
            <v>2330000</v>
          </cell>
          <cell r="N53" t="str">
            <v>RNN PUINAWAI</v>
          </cell>
          <cell r="O53" t="str">
            <v>NO</v>
          </cell>
          <cell r="P53">
            <v>10022</v>
          </cell>
          <cell r="Q53">
            <v>20225000001043</v>
          </cell>
          <cell r="R53">
            <v>8222</v>
          </cell>
          <cell r="S53">
            <v>44585</v>
          </cell>
          <cell r="T53" t="str">
            <v>C-3299-0900-2-0-3299060-02</v>
          </cell>
          <cell r="V53">
            <v>8299</v>
          </cell>
          <cell r="W53">
            <v>301044859</v>
          </cell>
          <cell r="Y53">
            <v>44585</v>
          </cell>
          <cell r="Z53">
            <v>44918</v>
          </cell>
          <cell r="AB53" t="str">
            <v>NA</v>
          </cell>
          <cell r="AC53" t="str">
            <v>CESAR ZÁRATE BOTTIA</v>
          </cell>
          <cell r="AF53" t="str">
            <v>Bogota</v>
          </cell>
          <cell r="AG53" t="str">
            <v>https://community.secop.gov.co/Public/Tendering/ContractNoticePhases/View?PPI=CO1.PPI.17072718&amp;isFromPublicArea=True&amp;isModal=False</v>
          </cell>
          <cell r="AH53">
            <v>330</v>
          </cell>
          <cell r="AI53" t="str">
            <v>6 NO CONSTITUYÓ GARANTÍAS</v>
          </cell>
          <cell r="AJ53" t="str">
            <v>RNN Puinawai</v>
          </cell>
          <cell r="AK53" t="str">
            <v>N/A</v>
          </cell>
          <cell r="AL53" t="str">
            <v>N/A</v>
          </cell>
          <cell r="AM53" t="str">
            <v>N/A</v>
          </cell>
          <cell r="AN53" t="str">
            <v>N/A</v>
          </cell>
          <cell r="AO53">
            <v>19363081</v>
          </cell>
          <cell r="AP53" t="str">
            <v>https://www.secop.gov.co/CO1ContractsManagement/Tendering/ProcurementContractEdit/View?docUniqueIdentifier=CO1.PCCNTR.3394773</v>
          </cell>
          <cell r="AQ53">
            <v>44585</v>
          </cell>
          <cell r="AR53">
            <v>44586</v>
          </cell>
          <cell r="AS53">
            <v>301044859</v>
          </cell>
          <cell r="AT53" t="str">
            <v>FORTALECIMIENTO</v>
          </cell>
        </row>
        <row r="54">
          <cell r="A54">
            <v>53</v>
          </cell>
          <cell r="B54" t="str">
            <v>CAROL ANGELICA CERCADO</v>
          </cell>
          <cell r="C54" t="str">
            <v>CD-DTAM NACION-CPS No. 053 - 2022</v>
          </cell>
          <cell r="D54" t="str">
            <v>JHONATAN ALEXANDER PRIETO CASTAÑO</v>
          </cell>
          <cell r="E54">
            <v>1018457708</v>
          </cell>
          <cell r="F54">
            <v>21030</v>
          </cell>
          <cell r="G54">
            <v>80111701</v>
          </cell>
          <cell r="H54" t="str">
            <v>11</v>
          </cell>
          <cell r="I54" t="str">
            <v>Prestar servicios técnicos y de apoyo a la gestión con el fin de adelantar los tramites presupuestales en el aplicativo SIIF Nación y la gestión de comisiones, viáticos, gastos de viajes y tiquetes de la DTAM</v>
          </cell>
          <cell r="J54">
            <v>44583</v>
          </cell>
          <cell r="K54" t="str">
            <v>9 meses</v>
          </cell>
          <cell r="L54">
            <v>25308000</v>
          </cell>
          <cell r="M54">
            <v>2812000</v>
          </cell>
          <cell r="N54" t="str">
            <v>DTAM</v>
          </cell>
          <cell r="O54" t="str">
            <v>NO</v>
          </cell>
          <cell r="P54">
            <v>9022</v>
          </cell>
          <cell r="R54">
            <v>6922</v>
          </cell>
          <cell r="S54">
            <v>44585</v>
          </cell>
          <cell r="T54" t="str">
            <v>C-3299-0900-2-0-3299060-02</v>
          </cell>
          <cell r="U54" t="str">
            <v>OTROS SERVICIOS PROFESIONALES Y TÉCNICOS N.C.P</v>
          </cell>
          <cell r="V54">
            <v>8211</v>
          </cell>
          <cell r="W54">
            <v>301041579</v>
          </cell>
          <cell r="Y54">
            <v>44585</v>
          </cell>
          <cell r="Z54">
            <v>44857</v>
          </cell>
          <cell r="AB54" t="str">
            <v>NA</v>
          </cell>
          <cell r="AC54" t="str">
            <v>CLAUDIA OFELIA MANRIQUE ROA</v>
          </cell>
          <cell r="AF54" t="str">
            <v>BOGOTA</v>
          </cell>
          <cell r="AG54" t="str">
            <v>https://www.secop.gov.co/CO1ContractsManagement/Tendering/ProcurementContractEdit/View?docUniqueIdentifier=CO1.PCCNTR.3378837&amp;awardUniqueIdentifier=&amp;buyerDossierUniqueIdentifier=CO1.BDOS.2675219&amp;id=1635771&amp;prevCtxUrl=https%3a%2f%2fwww.secop.gov.co%2fCO1BusinessLine%2fTendering%2fBuyerDossierWorkspace%2fIndex%3fsortingState%3dLastModifiedDESC%26showAdvancedSearch%3dFalse%26showAdvancedSearchFields%3dFalse%26selectedDossier%3dCO1.BDOS.2675219%26selectedRequest%3dCO1.REQ.2750435%26&amp;prevCtxLbl=Procesos+de+la+Entidad+Estatal</v>
          </cell>
          <cell r="AH54">
            <v>270</v>
          </cell>
          <cell r="AI54" t="str">
            <v>6 NO CONSTITUYÓ GARANTÍAS</v>
          </cell>
          <cell r="AJ54" t="str">
            <v>Dirección Territorial Amazonía</v>
          </cell>
          <cell r="AK54" t="str">
            <v>N/A</v>
          </cell>
          <cell r="AL54" t="str">
            <v>N/A</v>
          </cell>
          <cell r="AM54" t="str">
            <v>N/A</v>
          </cell>
          <cell r="AN54" t="str">
            <v>N/A</v>
          </cell>
          <cell r="AO54">
            <v>41674698</v>
          </cell>
          <cell r="AP54" t="str">
            <v>https://www.secop.gov.co/CO1ContractsManagement/Tendering/ProcurementContractEdit/View?docUniqueIdentifier=CO1.PCCNTR.3378837</v>
          </cell>
          <cell r="AQ54">
            <v>44584</v>
          </cell>
          <cell r="AR54">
            <v>44585</v>
          </cell>
          <cell r="AS54">
            <v>301041579</v>
          </cell>
          <cell r="AT54" t="str">
            <v>FORTALECIMIENTO</v>
          </cell>
        </row>
        <row r="55">
          <cell r="A55">
            <v>54</v>
          </cell>
          <cell r="B55" t="str">
            <v>LAURA CAROLINA CORREA RAMIREZ</v>
          </cell>
          <cell r="C55" t="str">
            <v>CD-DTAM NACION-CPS No. 054 - 2022</v>
          </cell>
          <cell r="D55" t="str">
            <v>ORLANDO NORIEGA ANGEL</v>
          </cell>
          <cell r="E55">
            <v>15878679</v>
          </cell>
          <cell r="F55">
            <v>23020</v>
          </cell>
          <cell r="G55">
            <v>80111701</v>
          </cell>
          <cell r="H55" t="str">
            <v>11</v>
          </cell>
          <cell r="I55" t="str">
            <v>Prestar servicios asistenciales y de apoyo a la gestión con énfasis en las actividades de prevención y de fortalecimiento a la gobernanza ambiental en el Parque Nacional Natural Amacayacu.</v>
          </cell>
          <cell r="J55">
            <v>44581</v>
          </cell>
          <cell r="K55" t="str">
            <v>11 meses</v>
          </cell>
          <cell r="L55">
            <v>15532000</v>
          </cell>
          <cell r="M55">
            <v>1412000</v>
          </cell>
          <cell r="N55" t="str">
            <v>PNN AMACAYACU</v>
          </cell>
          <cell r="O55" t="str">
            <v>NO</v>
          </cell>
          <cell r="P55">
            <v>4822</v>
          </cell>
          <cell r="Q55">
            <v>20225000001023</v>
          </cell>
          <cell r="R55">
            <v>7722</v>
          </cell>
          <cell r="S55">
            <v>44585</v>
          </cell>
          <cell r="T55" t="str">
            <v>C-3202-0900-4-0-3202008-02</v>
          </cell>
          <cell r="W55">
            <v>301042405</v>
          </cell>
          <cell r="Y55">
            <v>44585</v>
          </cell>
          <cell r="Z55">
            <v>44918</v>
          </cell>
          <cell r="AB55" t="str">
            <v>NA</v>
          </cell>
          <cell r="AC55" t="str">
            <v>ELIANA MARTINEZ RUEDA</v>
          </cell>
          <cell r="AF55" t="str">
            <v>Leticia, PNN Amacayacu</v>
          </cell>
          <cell r="AG55" t="str">
            <v>https://community.secop.gov.co/Public/Tendering/OpportunityDetail/Index?noticeUID=CO1.NTC.2688124&amp;isFromPublicArea=True&amp;isModal=False</v>
          </cell>
          <cell r="AH55">
            <v>330</v>
          </cell>
          <cell r="AI55" t="str">
            <v>6 NO CONSTITUYÓ GARANTÍAS</v>
          </cell>
          <cell r="AJ55" t="str">
            <v>PNN Amacayacu</v>
          </cell>
          <cell r="AK55" t="str">
            <v>N/A</v>
          </cell>
          <cell r="AL55" t="str">
            <v>N/A</v>
          </cell>
          <cell r="AM55" t="str">
            <v>N/A</v>
          </cell>
          <cell r="AN55" t="str">
            <v>N/A</v>
          </cell>
          <cell r="AO55">
            <v>51935320</v>
          </cell>
          <cell r="AP55" t="str">
            <v>https://www.secop.gov.co/CO1ContractsManagement/Tendering/ProcurementContractEdit/View?docUniqueIdentifier=CO1.PCCNTR.3392185</v>
          </cell>
          <cell r="AQ55">
            <v>44585</v>
          </cell>
          <cell r="AR55">
            <v>44585</v>
          </cell>
          <cell r="AS55">
            <v>301042405</v>
          </cell>
          <cell r="AT55" t="str">
            <v>ADMINISTRACION</v>
          </cell>
        </row>
        <row r="56">
          <cell r="A56">
            <v>55</v>
          </cell>
          <cell r="B56" t="str">
            <v>ALEJANDRO DELGADO LOZANO</v>
          </cell>
          <cell r="C56" t="str">
            <v>CD-DTAM NACION-CPS No. 055 - 2022</v>
          </cell>
          <cell r="D56" t="str">
            <v>WILSON DOVIGAMA QUEREGAMA</v>
          </cell>
          <cell r="E56">
            <v>1123328549</v>
          </cell>
          <cell r="F56">
            <v>32002</v>
          </cell>
          <cell r="G56">
            <v>80111701</v>
          </cell>
          <cell r="H56" t="str">
            <v>11</v>
          </cell>
          <cell r="I56" t="str">
            <v>Prestar apoyo como operario en la realización de actividades de Prevención, Vigilancia y Control del SF PMOIA, con énfasis en actividades con la comunidad Embera de Alto Orito.</v>
          </cell>
          <cell r="J56">
            <v>44587</v>
          </cell>
          <cell r="K56" t="str">
            <v>11 meses</v>
          </cell>
          <cell r="L56">
            <v>15532000</v>
          </cell>
          <cell r="M56">
            <v>1412000</v>
          </cell>
          <cell r="N56" t="str">
            <v>SFPM ORITO INGI ANDE</v>
          </cell>
          <cell r="O56" t="str">
            <v>NO</v>
          </cell>
          <cell r="P56">
            <v>12222</v>
          </cell>
          <cell r="Q56">
            <v>20225000001353</v>
          </cell>
          <cell r="R56">
            <v>11822</v>
          </cell>
          <cell r="S56">
            <v>44587</v>
          </cell>
          <cell r="T56" t="str">
            <v>C-3202-0900-4-0-3202032-02</v>
          </cell>
          <cell r="U56" t="str">
            <v>OTROS SERVICIOS DE GESTIÓN, EXCEPTO LOS SERVICIOS DE ADMINISTRACIÓN DE PROYECTOS DE CONSTRUCCIÓN</v>
          </cell>
          <cell r="V56">
            <v>8299</v>
          </cell>
          <cell r="W56" t="str">
            <v>301048303*26/01/2022</v>
          </cell>
          <cell r="Y56">
            <v>44587</v>
          </cell>
          <cell r="Z56">
            <v>44920</v>
          </cell>
          <cell r="AB56" t="str">
            <v>NA</v>
          </cell>
          <cell r="AC56" t="str">
            <v>WALKER EMELEC HOYOS GIRALDO</v>
          </cell>
          <cell r="AF56" t="str">
            <v>ORITO-PUTUMAYO</v>
          </cell>
          <cell r="AG56" t="str">
            <v>https://community.secop.gov.co/Public/Tendering/OpportunityDetail/Index?noticeUID=CO1.NTC.2685287&amp;isFromPublicArea=True&amp;isModal=False</v>
          </cell>
          <cell r="AH56">
            <v>330</v>
          </cell>
          <cell r="AI56" t="str">
            <v>6 NO CONSTITUYÓ GARANTÍAS</v>
          </cell>
          <cell r="AJ56" t="str">
            <v>SF Plantas Medicinales Orito Ingi-Ande</v>
          </cell>
          <cell r="AK56" t="str">
            <v>N/A</v>
          </cell>
          <cell r="AL56" t="str">
            <v>N/A</v>
          </cell>
          <cell r="AM56" t="str">
            <v>N/A</v>
          </cell>
          <cell r="AN56" t="str">
            <v>N/A</v>
          </cell>
          <cell r="AO56">
            <v>71114184</v>
          </cell>
          <cell r="AP56" t="str">
            <v>https://www.secop.gov.co/CO1ContractsManagement/Tendering/ProcurementContractEdit/View?docUniqueIdentifier=CO1.PCCNTR.3443648</v>
          </cell>
          <cell r="AQ56">
            <v>44587</v>
          </cell>
          <cell r="AR56">
            <v>44587</v>
          </cell>
          <cell r="AS56">
            <v>301048303</v>
          </cell>
          <cell r="AT56" t="str">
            <v>ADMINISTRACION</v>
          </cell>
        </row>
        <row r="57">
          <cell r="A57">
            <v>56</v>
          </cell>
          <cell r="B57" t="str">
            <v>LAURA CAROLINA CORREA RAMIREZ</v>
          </cell>
          <cell r="C57" t="str">
            <v>CD-DTAM NACION-CPS No. 056 - 2022</v>
          </cell>
          <cell r="D57" t="str">
            <v>GLORIA PATRICIA ORTIZ PINZÓN</v>
          </cell>
          <cell r="E57">
            <v>52704416</v>
          </cell>
          <cell r="F57">
            <v>21030</v>
          </cell>
          <cell r="G57">
            <v>80111701</v>
          </cell>
          <cell r="H57" t="str">
            <v>11</v>
          </cell>
          <cell r="I57" t="str">
            <v>Prestar apoyo en el proceso contables para la generación de los estados financieros del Fonam y Nación de la Dirección Territorial Amazonía, así como el registro de las obligaciones en el SIIF Nación.</v>
          </cell>
          <cell r="J57">
            <v>44583</v>
          </cell>
          <cell r="K57" t="str">
            <v>11 meses 7 dias</v>
          </cell>
          <cell r="L57">
            <v>31588133</v>
          </cell>
          <cell r="M57">
            <v>2812000</v>
          </cell>
          <cell r="N57" t="str">
            <v>DTAM</v>
          </cell>
          <cell r="O57" t="str">
            <v>NO</v>
          </cell>
          <cell r="P57">
            <v>8822</v>
          </cell>
          <cell r="Q57">
            <v>20225000000293</v>
          </cell>
          <cell r="R57">
            <v>7522</v>
          </cell>
          <cell r="S57">
            <v>44585</v>
          </cell>
          <cell r="T57" t="str">
            <v>C-3299-0900-2-0-3299060-02</v>
          </cell>
          <cell r="W57">
            <v>301042344</v>
          </cell>
          <cell r="Y57">
            <v>44585</v>
          </cell>
          <cell r="Z57">
            <v>44925</v>
          </cell>
          <cell r="AB57" t="str">
            <v>NA</v>
          </cell>
          <cell r="AC57" t="str">
            <v>CLAUDIA OFELIA MANRIQUE ROA</v>
          </cell>
          <cell r="AF57" t="str">
            <v>BOGOTA</v>
          </cell>
          <cell r="AG57" t="str">
            <v>https://community.secop.gov.co/Public/Tendering/OpportunityDetail/Index?noticeUID=CO1.NTC.2685583&amp;isFromPublicArea=True&amp;isModal=False</v>
          </cell>
          <cell r="AH57">
            <v>337</v>
          </cell>
          <cell r="AI57" t="str">
            <v>6 NO CONSTITUYÓ GARANTÍAS</v>
          </cell>
          <cell r="AJ57" t="str">
            <v>Dirección Territorial Amazonía</v>
          </cell>
          <cell r="AK57" t="str">
            <v>N/A</v>
          </cell>
          <cell r="AL57" t="str">
            <v>N/A</v>
          </cell>
          <cell r="AM57" t="str">
            <v>N/A</v>
          </cell>
          <cell r="AN57" t="str">
            <v>N/A</v>
          </cell>
          <cell r="AO57">
            <v>41674698</v>
          </cell>
          <cell r="AP57" t="str">
            <v>https://www.secop.gov.co/CO1ContractsManagement/Tendering/ProcurementContractEdit/View?docUniqueIdentifier=CO1.PCCNTR.3389886</v>
          </cell>
          <cell r="AQ57">
            <v>44585</v>
          </cell>
          <cell r="AR57">
            <v>44585</v>
          </cell>
          <cell r="AS57">
            <v>301042344</v>
          </cell>
          <cell r="AT57" t="str">
            <v>FORTALECIMIENTO</v>
          </cell>
        </row>
        <row r="58">
          <cell r="A58">
            <v>57</v>
          </cell>
          <cell r="B58" t="str">
            <v>NORYLY AGUIRRE OTALORA</v>
          </cell>
          <cell r="C58" t="str">
            <v>CD-DTAM NACION-CPS No. 057 - 2022</v>
          </cell>
          <cell r="D58" t="str">
            <v>EDILBERTO BECERRA CHINDOY</v>
          </cell>
          <cell r="E58">
            <v>18129506</v>
          </cell>
          <cell r="F58">
            <v>28010</v>
          </cell>
          <cell r="G58">
            <v>80111701</v>
          </cell>
          <cell r="H58" t="str">
            <v>11</v>
          </cell>
          <cell r="I58" t="str">
            <v>Prestar apoyo técnico a la gestión operativa en los procesos de atención a situación de UOT y en el trabajo comunitario con grupos indígenas y campesinos del Parque Nacional Natural Serranía de los Churumbelos Auka Wasi</v>
          </cell>
          <cell r="J58">
            <v>44583</v>
          </cell>
          <cell r="K58" t="str">
            <v>10 meses 29 dIas</v>
          </cell>
          <cell r="L58">
            <v>25552333</v>
          </cell>
          <cell r="M58">
            <v>2330000</v>
          </cell>
          <cell r="N58" t="str">
            <v>PNN CHURUMBELOS</v>
          </cell>
          <cell r="O58" t="str">
            <v>NO</v>
          </cell>
          <cell r="P58">
            <v>9522</v>
          </cell>
          <cell r="R58">
            <v>7622</v>
          </cell>
          <cell r="S58">
            <v>44585</v>
          </cell>
          <cell r="T58" t="str">
            <v>C-3202-0900-4-0-3202031-02</v>
          </cell>
          <cell r="U58" t="str">
            <v>ADQUISICIÓN DE BINES Y SERIVICIOS</v>
          </cell>
          <cell r="V58" t="str">
            <v>0210 - 8299</v>
          </cell>
          <cell r="W58">
            <v>301044770</v>
          </cell>
          <cell r="Y58">
            <v>44585</v>
          </cell>
          <cell r="Z58">
            <v>44589</v>
          </cell>
          <cell r="AB58" t="str">
            <v>NA</v>
          </cell>
          <cell r="AC58" t="str">
            <v>FLABIO ARMANDO HERRERA CAICEDO</v>
          </cell>
          <cell r="AF58" t="str">
            <v>Piamonte (Cauca)</v>
          </cell>
          <cell r="AG58" t="str">
            <v>https://community.secop.gov.co/Public/Tendering/ContractNoticePhases/View?PPI=CO1.PPI.17030958&amp;isFromPublicArea=True&amp;isModal=False</v>
          </cell>
          <cell r="AH58">
            <v>329</v>
          </cell>
          <cell r="AI58" t="str">
            <v>6 NO CONSTITUYÓ GARANTÍAS</v>
          </cell>
          <cell r="AJ58" t="str">
            <v>PNN Serranía de Los Churumbelos</v>
          </cell>
          <cell r="AK58" t="str">
            <v>N/A</v>
          </cell>
          <cell r="AL58" t="str">
            <v>N/A</v>
          </cell>
          <cell r="AM58" t="str">
            <v>N/A</v>
          </cell>
          <cell r="AN58" t="str">
            <v>N/A</v>
          </cell>
          <cell r="AO58">
            <v>19481189</v>
          </cell>
          <cell r="AP58" t="str">
            <v>https://www.secop.gov.co/CO1ContractsManagement/Tendering/ProcurementContractEdit/View?docUniqueIdentifier=CO1.PCCNTR.3380091</v>
          </cell>
          <cell r="AQ58">
            <v>44584</v>
          </cell>
          <cell r="AR58">
            <v>44586</v>
          </cell>
          <cell r="AS58">
            <v>301044770</v>
          </cell>
          <cell r="AT58" t="str">
            <v>ADMINISTRACION</v>
          </cell>
        </row>
        <row r="59">
          <cell r="A59">
            <v>58</v>
          </cell>
          <cell r="B59" t="str">
            <v>LAURA CAROLINA CORREA RAMIREZ</v>
          </cell>
          <cell r="C59" t="str">
            <v>CD-DTAM NACION-CPS No. 058 - 2022</v>
          </cell>
          <cell r="D59" t="str">
            <v>CRISTHIAN ALFONSO PIMIENTO ORDOÑEZ</v>
          </cell>
          <cell r="E59">
            <v>1075287094</v>
          </cell>
          <cell r="F59">
            <v>25010</v>
          </cell>
          <cell r="G59">
            <v>80111701</v>
          </cell>
          <cell r="H59" t="str">
            <v>11</v>
          </cell>
          <cell r="I59" t="str">
            <v>Prestar servicios profesionales para la implementación de la estrategia de comunicación y educación ambiental, aportando a los procesos de planeación del manejo al interior del Parque Nacional Natural la Paya.</v>
          </cell>
          <cell r="J59">
            <v>44583</v>
          </cell>
          <cell r="K59" t="str">
            <v>10 meses 29 dIas</v>
          </cell>
          <cell r="L59">
            <v>55930000</v>
          </cell>
          <cell r="M59">
            <v>5100000</v>
          </cell>
          <cell r="N59" t="str">
            <v>PNN LA PAYA</v>
          </cell>
          <cell r="O59" t="str">
            <v>NO</v>
          </cell>
          <cell r="P59">
            <v>10222</v>
          </cell>
          <cell r="R59">
            <v>6822</v>
          </cell>
          <cell r="S59">
            <v>44584</v>
          </cell>
          <cell r="T59" t="str">
            <v>C-3202-0900-4-0-3202008-02</v>
          </cell>
          <cell r="W59">
            <v>301041214</v>
          </cell>
          <cell r="Y59">
            <v>44585</v>
          </cell>
          <cell r="Z59">
            <v>44589</v>
          </cell>
          <cell r="AB59" t="str">
            <v>45-46-101014111</v>
          </cell>
          <cell r="AC59" t="str">
            <v>JEFERSON ROJAS NIETO</v>
          </cell>
          <cell r="AF59" t="str">
            <v>PUERTO LEGUIZAMON</v>
          </cell>
          <cell r="AG59" t="str">
            <v>https://community.secop.gov.co/Public/Tendering/ContractNoticePhases/View?PPI=CO1.PPI.17030958&amp;isFromPublicArea=True&amp;isModal=False</v>
          </cell>
          <cell r="AH59">
            <v>329</v>
          </cell>
          <cell r="AI59" t="str">
            <v>6 NO CONSTITUYÓ GARANTÍAS</v>
          </cell>
          <cell r="AJ59" t="str">
            <v>PNN La Paya</v>
          </cell>
          <cell r="AK59" t="str">
            <v>N/A</v>
          </cell>
          <cell r="AL59" t="str">
            <v>N/A</v>
          </cell>
          <cell r="AM59" t="str">
            <v>N/A</v>
          </cell>
          <cell r="AN59" t="str">
            <v>N/A</v>
          </cell>
          <cell r="AO59">
            <v>93404206</v>
          </cell>
          <cell r="AP59" t="str">
            <v>https://www.secop.gov.co/CO1ContractsManagement/Tendering/ProcurementContractEdit/View?docUniqueIdentifier=CO1.PCCNTR.3376897</v>
          </cell>
          <cell r="AQ59">
            <v>44584</v>
          </cell>
          <cell r="AR59">
            <v>44585</v>
          </cell>
          <cell r="AS59">
            <v>301041214</v>
          </cell>
          <cell r="AT59" t="str">
            <v>ADMINISTRACION</v>
          </cell>
        </row>
        <row r="60">
          <cell r="A60">
            <v>59</v>
          </cell>
          <cell r="B60" t="str">
            <v>NORYLY AGUIRRE OTALORA</v>
          </cell>
          <cell r="C60" t="str">
            <v>CD-DTAM NACION-CPS No. 059 - 2022</v>
          </cell>
          <cell r="D60" t="str">
            <v>VIVIANA MARGOTH DELGADO RAMOS</v>
          </cell>
          <cell r="E60">
            <v>1060206323</v>
          </cell>
          <cell r="F60">
            <v>28003</v>
          </cell>
          <cell r="G60">
            <v>80111701</v>
          </cell>
          <cell r="H60" t="str">
            <v>11</v>
          </cell>
          <cell r="I60" t="str">
            <v>Prestar apoyo técnico a la gestión operativa en los procesos de Comunicación y Educación Ambiental y Prevención, Vigilancia y Control en el trabajo comunitario con grupos indígenas y campesinos del Parque Nacional Natural Serranía de los Churumbelos Auka Wasi</v>
          </cell>
          <cell r="J60">
            <v>44584</v>
          </cell>
          <cell r="K60" t="str">
            <v>10 meses 29 dIas</v>
          </cell>
          <cell r="L60">
            <v>25552333</v>
          </cell>
          <cell r="M60">
            <v>2330000</v>
          </cell>
          <cell r="N60" t="str">
            <v>PNN CHURUMBELOS</v>
          </cell>
          <cell r="O60" t="str">
            <v>NO</v>
          </cell>
          <cell r="P60">
            <v>9322</v>
          </cell>
          <cell r="Q60">
            <v>20225000001003</v>
          </cell>
          <cell r="R60">
            <v>8122</v>
          </cell>
          <cell r="S60">
            <v>44585</v>
          </cell>
          <cell r="T60" t="str">
            <v>C-3202-0900-4-0-3202032-02</v>
          </cell>
          <cell r="V60">
            <v>7490</v>
          </cell>
          <cell r="W60">
            <v>301044754</v>
          </cell>
          <cell r="Y60">
            <v>44584</v>
          </cell>
          <cell r="Z60">
            <v>44916</v>
          </cell>
          <cell r="AB60" t="str">
            <v>NA</v>
          </cell>
          <cell r="AC60" t="str">
            <v>FLABIO ARMANDO HERRERA CAICEDO</v>
          </cell>
          <cell r="AF60" t="str">
            <v>PIAMONTE</v>
          </cell>
          <cell r="AG60" t="str">
            <v>https://community.secop.gov.co/Public/Tendering/OpportunityDetail/Index?noticeUID=CO1.NTC.2675094&amp;isFromPublicArea=True&amp;isModal=False</v>
          </cell>
          <cell r="AH60">
            <v>329</v>
          </cell>
          <cell r="AI60" t="str">
            <v>6 NO CONSTITUYÓ GARANTÍAS</v>
          </cell>
          <cell r="AJ60" t="str">
            <v>PNN Serranía de Los Churumbelos</v>
          </cell>
          <cell r="AK60" t="str">
            <v>N/A</v>
          </cell>
          <cell r="AL60" t="str">
            <v>N/A</v>
          </cell>
          <cell r="AM60" t="str">
            <v>N/A</v>
          </cell>
          <cell r="AN60" t="str">
            <v>N/A</v>
          </cell>
          <cell r="AO60">
            <v>19481189</v>
          </cell>
          <cell r="AP60" t="str">
            <v>https://www.secop.gov.co/CO1ContractsManagement/Tendering/ProcurementContractEdit/View?docUniqueIdentifier=CO1.PCCNTR.3380401</v>
          </cell>
          <cell r="AQ60">
            <v>44584</v>
          </cell>
          <cell r="AR60">
            <v>44586</v>
          </cell>
          <cell r="AS60">
            <v>301044754</v>
          </cell>
          <cell r="AT60" t="str">
            <v>ADMINISTRACION</v>
          </cell>
        </row>
        <row r="61">
          <cell r="A61">
            <v>60</v>
          </cell>
          <cell r="B61" t="str">
            <v>NORYLY AGUIRRE OTALORA</v>
          </cell>
          <cell r="C61" t="str">
            <v>CD-DTAM NACION-CPS No. 060 - 2022</v>
          </cell>
          <cell r="D61" t="str">
            <v>BORIS ANDRES HERRERA CACERES</v>
          </cell>
          <cell r="E61">
            <v>1121714474</v>
          </cell>
          <cell r="F61">
            <v>10422</v>
          </cell>
          <cell r="G61">
            <v>80111701</v>
          </cell>
          <cell r="H61" t="str">
            <v>11</v>
          </cell>
          <cell r="I61" t="str">
            <v>Prestar apoyo técnico para desarrollar actividades operativas y logísticas, presencia institucional permanente de la RNN Puinawai, en la Ciudad de Inírida.</v>
          </cell>
          <cell r="J61">
            <v>44584</v>
          </cell>
          <cell r="K61" t="str">
            <v>10 meses 29 dIas</v>
          </cell>
          <cell r="L61">
            <v>30932000</v>
          </cell>
          <cell r="M61">
            <v>2812000</v>
          </cell>
          <cell r="N61" t="str">
            <v>RNN PUINAWAI</v>
          </cell>
          <cell r="O61" t="str">
            <v>NO</v>
          </cell>
          <cell r="P61">
            <v>10422</v>
          </cell>
          <cell r="Q61">
            <v>20225000001013</v>
          </cell>
          <cell r="R61">
            <v>7822</v>
          </cell>
          <cell r="S61">
            <v>44585</v>
          </cell>
          <cell r="T61" t="str">
            <v>C-3202-0900-4-0-3202008-02</v>
          </cell>
          <cell r="V61">
            <v>8299</v>
          </cell>
          <cell r="W61">
            <v>301044513</v>
          </cell>
          <cell r="Y61">
            <v>44585</v>
          </cell>
          <cell r="Z61">
            <v>44917</v>
          </cell>
          <cell r="AB61" t="str">
            <v>NA</v>
          </cell>
          <cell r="AC61" t="str">
            <v>CESAR ZÁRATE BOTTIA</v>
          </cell>
          <cell r="AF61" t="str">
            <v>Inírida – Guainía</v>
          </cell>
          <cell r="AG61" t="str">
            <v>https://community.secop.gov.co/Public/Tendering/ContractNoticePhases/View?PPI=CO1.PPI.17031549&amp;isFromPublicArea=True&amp;isModal=False</v>
          </cell>
          <cell r="AH61">
            <v>329</v>
          </cell>
          <cell r="AI61" t="str">
            <v>6 NO CONSTITUYÓ GARANTÍAS</v>
          </cell>
          <cell r="AJ61" t="str">
            <v>PNN Serranía de Los Churumbelos</v>
          </cell>
          <cell r="AK61" t="str">
            <v>N/A</v>
          </cell>
          <cell r="AL61" t="str">
            <v>N/A</v>
          </cell>
          <cell r="AM61" t="str">
            <v>N/A</v>
          </cell>
          <cell r="AN61" t="str">
            <v>N/A</v>
          </cell>
          <cell r="AO61">
            <v>19363081</v>
          </cell>
          <cell r="AP61" t="str">
            <v>https://www.secop.gov.co/CO1ContractsManagement/Tendering/ProcurementContractEdit/View?docUniqueIdentifier=CO1.PCCNTR.3382055</v>
          </cell>
          <cell r="AQ61">
            <v>44584</v>
          </cell>
          <cell r="AR61">
            <v>44586</v>
          </cell>
          <cell r="AS61">
            <v>301044513</v>
          </cell>
          <cell r="AT61" t="str">
            <v>ADMINISTRACION</v>
          </cell>
        </row>
        <row r="62">
          <cell r="A62">
            <v>61</v>
          </cell>
          <cell r="B62" t="str">
            <v>NORYLY AGUIRRE OTALORA</v>
          </cell>
          <cell r="C62" t="str">
            <v>CD-DTAM NACION-CPS No. 061 - 2022_2</v>
          </cell>
          <cell r="D62" t="str">
            <v>ANDRES GIRALDO JARAMILLO</v>
          </cell>
          <cell r="E62">
            <v>1019061161</v>
          </cell>
          <cell r="G62">
            <v>80111701</v>
          </cell>
          <cell r="H62" t="str">
            <v>11</v>
          </cell>
          <cell r="I62" t="str">
            <v>Prestar servicios profesionales para consolidar y fortalecer el Sistema de Información del PNN Yaigojé Apaporis, con el fin de afianzar las Prioridades Integrales de Conservación en el marco de la implementación del REM, a través del diseño del Programa Monitoreo.</v>
          </cell>
          <cell r="K62" t="str">
            <v>11 meses</v>
          </cell>
          <cell r="L62">
            <v>51324000</v>
          </cell>
          <cell r="M62">
            <v>4680000</v>
          </cell>
          <cell r="N62" t="str">
            <v>PNN YAIGOJE APAPORIS</v>
          </cell>
          <cell r="O62" t="str">
            <v>NO</v>
          </cell>
          <cell r="P62">
            <v>11122</v>
          </cell>
          <cell r="R62">
            <v>8522</v>
          </cell>
          <cell r="S62">
            <v>44586</v>
          </cell>
          <cell r="T62" t="str">
            <v>C-3202-0900-4-0-3202004-02</v>
          </cell>
          <cell r="Y62">
            <v>44585</v>
          </cell>
          <cell r="Z62">
            <v>44918</v>
          </cell>
          <cell r="AB62" t="str">
            <v>36-44-101052937</v>
          </cell>
          <cell r="AC62" t="str">
            <v>EDGAR ARGEMIRO CASTRO AGUILERA</v>
          </cell>
          <cell r="AF62" t="str">
            <v>LA PEDRERA, AMAZONAS</v>
          </cell>
          <cell r="AG62" t="str">
            <v>https://community.secop.gov.co/Public/Tendering/ContractNoticePhases/View?PPI=CO1.PPI.17032607&amp;isFromPublicArea=True&amp;isModal=False</v>
          </cell>
          <cell r="AH62">
            <v>330</v>
          </cell>
          <cell r="AI62" t="str">
            <v>6 NO CONSTITUYÓ GARANTÍAS</v>
          </cell>
          <cell r="AJ62" t="str">
            <v>PNN Yaigojé Apaporis</v>
          </cell>
          <cell r="AK62" t="str">
            <v>N/A</v>
          </cell>
          <cell r="AL62" t="str">
            <v>N/A</v>
          </cell>
          <cell r="AM62" t="str">
            <v>N/A</v>
          </cell>
          <cell r="AN62" t="str">
            <v>N/A</v>
          </cell>
          <cell r="AO62">
            <v>79494598</v>
          </cell>
          <cell r="AP62" t="str">
            <v>https://www.secop.gov.co/CO1ContractsManagement/Tendering/ProcurementContractEdit/View?docUniqueIdentifier=CO1.PCCNTR.3434657</v>
          </cell>
          <cell r="AQ62">
            <v>44587</v>
          </cell>
          <cell r="AR62">
            <v>44594</v>
          </cell>
          <cell r="AS62">
            <v>301067976</v>
          </cell>
          <cell r="AT62" t="str">
            <v>ADMINISTRACION</v>
          </cell>
        </row>
        <row r="63">
          <cell r="A63">
            <v>62</v>
          </cell>
          <cell r="B63" t="str">
            <v>LAURA CAROLINA CORREA RAMIREZ</v>
          </cell>
          <cell r="C63" t="str">
            <v>CD-DTAM NACION-CPS No. 062 - 2022</v>
          </cell>
          <cell r="D63" t="str">
            <v>DIEGO ANDRÉS CAICEDO ARAUJO</v>
          </cell>
          <cell r="E63">
            <v>1117524595</v>
          </cell>
          <cell r="F63">
            <v>25010</v>
          </cell>
          <cell r="G63">
            <v>80111701</v>
          </cell>
          <cell r="H63" t="str">
            <v>11</v>
          </cell>
          <cell r="I63" t="str">
            <v>Prestar servicios profesionales para la construcción e implementación del programa de monitoreo y la plataforma de investigación en el Parque Nacional Natural La Paya</v>
          </cell>
          <cell r="J63">
            <v>44584</v>
          </cell>
          <cell r="K63" t="str">
            <v>10 meses 29 dIas</v>
          </cell>
          <cell r="L63">
            <v>41278533</v>
          </cell>
          <cell r="M63">
            <v>3764000</v>
          </cell>
          <cell r="N63" t="str">
            <v>PNN LA PAYA</v>
          </cell>
          <cell r="O63" t="str">
            <v>NO</v>
          </cell>
          <cell r="P63">
            <v>10522</v>
          </cell>
          <cell r="Q63">
            <v>20225200001383</v>
          </cell>
          <cell r="R63">
            <v>8522</v>
          </cell>
          <cell r="S63">
            <v>44586</v>
          </cell>
          <cell r="T63" t="str">
            <v>C-3202-0900-4-0-3202008-02</v>
          </cell>
          <cell r="W63">
            <v>301045099</v>
          </cell>
          <cell r="Y63">
            <v>44587</v>
          </cell>
          <cell r="Z63">
            <v>44919</v>
          </cell>
          <cell r="AB63" t="str">
            <v>NA</v>
          </cell>
          <cell r="AC63" t="str">
            <v>JEFERSON ROJAS NIETO</v>
          </cell>
          <cell r="AF63" t="str">
            <v>Puerto Leguízamo</v>
          </cell>
          <cell r="AG63" t="str">
            <v>https://community.secop.gov.co/Public/Tendering/ContractNoticePhases/View?PPI=CO1.PPI.17166922&amp;isFromPublicArea=True&amp;isModal=False</v>
          </cell>
          <cell r="AH63">
            <v>329</v>
          </cell>
          <cell r="AI63" t="str">
            <v>6 NO CONSTITUYÓ GARANTÍAS</v>
          </cell>
          <cell r="AJ63" t="str">
            <v>PNN La Paya</v>
          </cell>
          <cell r="AK63" t="str">
            <v>N/A</v>
          </cell>
          <cell r="AL63" t="str">
            <v>N/A</v>
          </cell>
          <cell r="AM63" t="str">
            <v>N/A</v>
          </cell>
          <cell r="AN63" t="str">
            <v>N/A</v>
          </cell>
          <cell r="AO63">
            <v>93404206</v>
          </cell>
          <cell r="AP63" t="str">
            <v>https://www.secop.gov.co/CO1ContractsManagement/Tendering/ProcurementContractEdit/View?docUniqueIdentifier=CO1.PCCNTR.3403252</v>
          </cell>
          <cell r="AQ63">
            <v>44585</v>
          </cell>
          <cell r="AR63">
            <v>44586</v>
          </cell>
          <cell r="AS63">
            <v>301045099</v>
          </cell>
          <cell r="AT63" t="str">
            <v>ADMINISTRACION</v>
          </cell>
        </row>
        <row r="64">
          <cell r="A64">
            <v>63</v>
          </cell>
          <cell r="B64" t="str">
            <v>NORYLY AGUIRRE OTALORA</v>
          </cell>
          <cell r="C64" t="str">
            <v>CD-DTAM NACION-CPS No. 063 - 2022</v>
          </cell>
          <cell r="D64" t="str">
            <v>MICHAEL AUDITH BARBOSA RAMIREZ</v>
          </cell>
          <cell r="E64">
            <v>1118203589</v>
          </cell>
          <cell r="I64" t="str">
            <v>Prestación de servicios de un Operario (Experto Local) campesino en el área operativa como apoyo a la gestión relacionada con el fortalecimiento del proceso de Uso Ocupación y Tenencia y Ordenamiento Ambiental que se adelanta en el Área Protegida.</v>
          </cell>
          <cell r="K64" t="str">
            <v>10 meses 29 dIas</v>
          </cell>
          <cell r="L64">
            <v>15532000</v>
          </cell>
          <cell r="M64">
            <v>1412000</v>
          </cell>
          <cell r="N64" t="str">
            <v>PNN NUKAK</v>
          </cell>
          <cell r="O64" t="str">
            <v>NO</v>
          </cell>
          <cell r="P64">
            <v>10822</v>
          </cell>
          <cell r="R64">
            <v>9322</v>
          </cell>
          <cell r="S64">
            <v>44586</v>
          </cell>
          <cell r="T64" t="str">
            <v>C-3202-0900-4-0-3202031-02</v>
          </cell>
          <cell r="Y64">
            <v>44586</v>
          </cell>
          <cell r="Z64">
            <v>44918</v>
          </cell>
          <cell r="AB64" t="str">
            <v>NA</v>
          </cell>
          <cell r="AC64" t="str">
            <v>VICTOR SETINA</v>
          </cell>
          <cell r="AF64" t="str">
            <v>MIRAFLORES, SAN JOSE DEL GUAVIARE</v>
          </cell>
          <cell r="AG64" t="str">
            <v>https://community.secop.gov.co/Public/Tendering/OpportunityDetail/Index?noticeUID=CO1.NTC.2697631&amp;isFromPublicArea=True&amp;isModal=False</v>
          </cell>
          <cell r="AH64">
            <v>329</v>
          </cell>
          <cell r="AI64" t="str">
            <v>6 NO CONSTITUYÓ GARANTÍAS</v>
          </cell>
          <cell r="AJ64" t="str">
            <v>RNN Nukak</v>
          </cell>
          <cell r="AK64" t="str">
            <v>N/A</v>
          </cell>
          <cell r="AL64" t="str">
            <v>N/A</v>
          </cell>
          <cell r="AM64" t="str">
            <v>N/A</v>
          </cell>
          <cell r="AN64" t="str">
            <v>N/A</v>
          </cell>
          <cell r="AO64">
            <v>86014797</v>
          </cell>
          <cell r="AP64" t="str">
            <v>https://www.secop.gov.co/CO1ContractsManagement/Tendering/ProcurementContractEdit/View?docUniqueIdentifier=CO1.PCCNTR.3403555</v>
          </cell>
          <cell r="AQ64">
            <v>44585</v>
          </cell>
          <cell r="AR64">
            <v>44586</v>
          </cell>
          <cell r="AS64">
            <v>301044799</v>
          </cell>
          <cell r="AT64" t="str">
            <v>ADMINISTRACION</v>
          </cell>
        </row>
        <row r="65">
          <cell r="A65">
            <v>64</v>
          </cell>
          <cell r="B65" t="str">
            <v>CAROL ANGELICA CERCADO</v>
          </cell>
          <cell r="C65" t="str">
            <v>CD-DTAM NACION-CPS No. 064 - 2022</v>
          </cell>
          <cell r="D65" t="str">
            <v>REINALDO CUELLAR CARVAJAL</v>
          </cell>
          <cell r="E65">
            <v>1121202032</v>
          </cell>
          <cell r="F65">
            <v>26011</v>
          </cell>
          <cell r="G65">
            <v>80111701</v>
          </cell>
          <cell r="H65" t="str">
            <v>11</v>
          </cell>
          <cell r="I65" t="str">
            <v>Prestar apoyo operativo en la gestión del PNN Río Puré y su zona de influencia sector sur (áreas no municipalizadas de Tarapacá y Puerto Arica).</v>
          </cell>
          <cell r="J65">
            <v>44584</v>
          </cell>
          <cell r="K65" t="str">
            <v>11 meses</v>
          </cell>
          <cell r="L65">
            <v>15532000</v>
          </cell>
          <cell r="M65">
            <v>1412000</v>
          </cell>
          <cell r="N65" t="str">
            <v>PNN RIO PURE</v>
          </cell>
          <cell r="O65" t="str">
            <v>NO</v>
          </cell>
          <cell r="P65">
            <v>4122</v>
          </cell>
          <cell r="Q65">
            <v>20225130000213</v>
          </cell>
          <cell r="R65">
            <v>7922</v>
          </cell>
          <cell r="S65">
            <v>44585</v>
          </cell>
          <cell r="T65" t="str">
            <v>C-3202-0900-4-0-3202008-02</v>
          </cell>
          <cell r="U65" t="str">
            <v>Otros servicios de gestión, excepto los servicios de administración de proyectos de construcción</v>
          </cell>
          <cell r="V65">
            <v>7490</v>
          </cell>
          <cell r="W65">
            <v>301042395</v>
          </cell>
          <cell r="Y65">
            <v>44586</v>
          </cell>
          <cell r="Z65">
            <v>44919</v>
          </cell>
          <cell r="AB65" t="str">
            <v>NA</v>
          </cell>
          <cell r="AC65" t="str">
            <v>ALEXANDER ALFONSO SEGURA</v>
          </cell>
          <cell r="AF65" t="str">
            <v>PNN RIO PURE</v>
          </cell>
          <cell r="AG65" t="str">
            <v>https://community.secop.gov.co/Public/Tendering/ContractNoticePhases/View?PPI=CO1.PPI.17051591&amp;isFromPublicArea=True&amp;isModal=False</v>
          </cell>
          <cell r="AH65">
            <v>330</v>
          </cell>
          <cell r="AI65" t="str">
            <v>6 NO CONSTITUYÓ GARANTÍAS</v>
          </cell>
          <cell r="AJ65" t="str">
            <v>PNN Río Puré</v>
          </cell>
          <cell r="AK65" t="str">
            <v>N/A</v>
          </cell>
          <cell r="AL65" t="str">
            <v>N/A</v>
          </cell>
          <cell r="AM65" t="str">
            <v>N/A</v>
          </cell>
          <cell r="AN65" t="str">
            <v>N/A</v>
          </cell>
          <cell r="AO65">
            <v>79672176</v>
          </cell>
          <cell r="AP65" t="str">
            <v>https://www.secop.gov.co/CO1ContractsManagement/Tendering/ProcurementContractEdit/View?docUniqueIdentifier=CO1.PCCNTR.3392701</v>
          </cell>
          <cell r="AQ65">
            <v>44585</v>
          </cell>
          <cell r="AR65">
            <v>44585</v>
          </cell>
          <cell r="AS65">
            <v>301042395</v>
          </cell>
          <cell r="AT65" t="str">
            <v>ADMINISTRACION</v>
          </cell>
        </row>
        <row r="66">
          <cell r="A66">
            <v>65</v>
          </cell>
          <cell r="B66" t="str">
            <v>ALEJANDRO DELGADO LOZANO</v>
          </cell>
          <cell r="C66" t="str">
            <v>CD-DTAM NACION-CPS No. 065 - 2022</v>
          </cell>
          <cell r="D66" t="str">
            <v>EDUAR DUVAN QUETA CRIOLLO</v>
          </cell>
          <cell r="E66">
            <v>1126449637</v>
          </cell>
          <cell r="F66">
            <v>32002</v>
          </cell>
          <cell r="G66">
            <v>80111701</v>
          </cell>
          <cell r="H66" t="str">
            <v>11</v>
          </cell>
          <cell r="I66" t="str">
            <v>Prestar apoyo como operario para la realización de actividades de Prevención, Vigilancia y Control del SF PMOIA, en articulación con las autoridades tradicionales de los resguardos de Yarinal San Marcelino, Santa Rosa del Guamuez o Campoalegre del Afilador</v>
          </cell>
          <cell r="J66">
            <v>44587</v>
          </cell>
          <cell r="K66" t="str">
            <v>11 meses</v>
          </cell>
          <cell r="L66">
            <v>15532000</v>
          </cell>
          <cell r="M66">
            <v>1412000</v>
          </cell>
          <cell r="N66" t="str">
            <v>SFPM ORITO INGI ANDE</v>
          </cell>
          <cell r="O66" t="str">
            <v>NO</v>
          </cell>
          <cell r="P66">
            <v>12322</v>
          </cell>
          <cell r="Q66">
            <v>20225000001373</v>
          </cell>
          <cell r="R66">
            <v>11922</v>
          </cell>
          <cell r="S66">
            <v>44587</v>
          </cell>
          <cell r="T66" t="str">
            <v>C-3202-0900-4-0-3202032-02</v>
          </cell>
          <cell r="U66" t="str">
            <v>OTROS SERVICIOS DE GESTIÓN, EXCEPTO LOS SERVICIOS DE ADMINISTRACIÓN DE PROYECTOS DE CONSTRUCCIÓN</v>
          </cell>
          <cell r="V66" t="str">
            <v>8299-7490</v>
          </cell>
          <cell r="W66" t="str">
            <v>301048693*26/01/2022</v>
          </cell>
          <cell r="Y66">
            <v>44585</v>
          </cell>
          <cell r="Z66">
            <v>44919</v>
          </cell>
          <cell r="AB66" t="str">
            <v>NA</v>
          </cell>
          <cell r="AC66" t="str">
            <v>WALKER EMELEC HOYOS GIRALDO</v>
          </cell>
          <cell r="AF66" t="str">
            <v>ORITO-PUTUMAYO</v>
          </cell>
          <cell r="AG66" t="str">
            <v>https://www.secop.gov.co/CO1ContractsManagement/Tendering/ProcurementContractEdit/View?docUniqueIdentifier=CO1.PCCNTR.3392701&amp;awardUniqueIdentifier=&amp;buyerDossierUniqueIdentifier=CO1.BDOS.2683490&amp;id=1648542&amp;prevCtxUrl=https%3a%2f%2fwww.secop.gov.co%2fCO1BusinessLine%2fTendering%2fBuyerDossierWorkspace%2fIndex%3fsortingState%3dLastModifiedDESC%26showAdvancedSearch%3dFalse%26showAdvancedSearchFields%3dFalse%26selectedDossier%3dCO1.BDOS.2683490%26selectedRequest%3dCO1.REQ.2760784%26&amp;prevCtxLbl=Procesos+de+la+Entidad+Estatal</v>
          </cell>
          <cell r="AH66">
            <v>330</v>
          </cell>
          <cell r="AI66" t="str">
            <v>6 NO CONSTITUYÓ GARANTÍAS</v>
          </cell>
          <cell r="AJ66" t="str">
            <v>SF Plantas Medicinales Orito Ingi-Ande</v>
          </cell>
          <cell r="AK66" t="str">
            <v>N/A</v>
          </cell>
          <cell r="AL66" t="str">
            <v>N/A</v>
          </cell>
          <cell r="AM66" t="str">
            <v>N/A</v>
          </cell>
          <cell r="AN66" t="str">
            <v>N/A</v>
          </cell>
          <cell r="AO66">
            <v>71114184</v>
          </cell>
          <cell r="AP66" t="str">
            <v>https://www.secop.gov.co/CO1ContractsManagement/Tendering/ProcurementContractEdit/View?docUniqueIdentifier=CO1.PCCNTR.3447388</v>
          </cell>
          <cell r="AQ66">
            <v>44587</v>
          </cell>
          <cell r="AR66">
            <v>44587</v>
          </cell>
          <cell r="AS66">
            <v>301048693</v>
          </cell>
          <cell r="AT66" t="str">
            <v>ADMINISTRACION</v>
          </cell>
        </row>
        <row r="67">
          <cell r="A67">
            <v>66</v>
          </cell>
          <cell r="B67" t="str">
            <v>CAROL ANGELICA CERCADO</v>
          </cell>
          <cell r="C67" t="str">
            <v>CD-DTAM NACION-CPS No. 066 - 2022</v>
          </cell>
          <cell r="D67" t="str">
            <v>NESTOR MOISES SUPELANO CHUÑA</v>
          </cell>
          <cell r="E67">
            <v>6567970</v>
          </cell>
          <cell r="F67">
            <v>26013</v>
          </cell>
          <cell r="G67">
            <v>80111701</v>
          </cell>
          <cell r="H67" t="str">
            <v>11</v>
          </cell>
          <cell r="I67" t="str">
            <v>Prestar apoyo técnico en la gestión del PNN Río Puré y su zona de influencia sector sur (Tarapacá y Puerto Arica), en la implementación de la estrategia nacional de educación ambiental y comunicaciones de PNNC.</v>
          </cell>
          <cell r="J67">
            <v>44585</v>
          </cell>
          <cell r="K67" t="str">
            <v>11 meses</v>
          </cell>
          <cell r="L67">
            <v>25552333</v>
          </cell>
          <cell r="M67">
            <v>2330000</v>
          </cell>
          <cell r="N67" t="str">
            <v>PNN RIO PURE</v>
          </cell>
          <cell r="O67" t="str">
            <v>NO</v>
          </cell>
          <cell r="P67">
            <v>4422</v>
          </cell>
          <cell r="Q67">
            <v>20225130000263</v>
          </cell>
          <cell r="R67">
            <v>8322</v>
          </cell>
          <cell r="S67">
            <v>44586</v>
          </cell>
          <cell r="T67" t="str">
            <v>C-3202-0900-4-0-3202008-02</v>
          </cell>
          <cell r="U67" t="str">
            <v>Otros servicios profesionales y técnicos n.c.p.</v>
          </cell>
          <cell r="V67">
            <v>3319</v>
          </cell>
          <cell r="W67">
            <v>301043314</v>
          </cell>
          <cell r="Y67">
            <v>44587</v>
          </cell>
          <cell r="Z67">
            <v>44920</v>
          </cell>
          <cell r="AB67" t="str">
            <v>NA</v>
          </cell>
          <cell r="AC67" t="str">
            <v>ALEXANDER ALFONSO SEGURA</v>
          </cell>
          <cell r="AF67" t="str">
            <v>PNN RIO PURE</v>
          </cell>
          <cell r="AG67" t="str">
            <v>https://community.secop.gov.co/Public/Tendering/OpportunityDetail/Index?noticeUID=CO1.NTC.2685638&amp;isFromPublicArea=True&amp;isModal=False</v>
          </cell>
          <cell r="AH67">
            <v>330</v>
          </cell>
          <cell r="AI67" t="str">
            <v>6 NO CONSTITUYÓ GARANTÍAS</v>
          </cell>
          <cell r="AJ67" t="str">
            <v>PNN Río Puré</v>
          </cell>
          <cell r="AK67" t="str">
            <v>N/A</v>
          </cell>
          <cell r="AL67" t="str">
            <v>N/A</v>
          </cell>
          <cell r="AM67" t="str">
            <v>N/A</v>
          </cell>
          <cell r="AN67" t="str">
            <v>N/A</v>
          </cell>
          <cell r="AO67">
            <v>79672176</v>
          </cell>
          <cell r="AP67" t="str">
            <v>https://www.secop.gov.co/CO1ContractsManagement/Tendering/ProcurementContractEdit/View?docUniqueIdentifier=CO1.PCCNTR.3397309</v>
          </cell>
          <cell r="AQ67">
            <v>44585</v>
          </cell>
          <cell r="AR67">
            <v>44586</v>
          </cell>
          <cell r="AS67">
            <v>301043314</v>
          </cell>
          <cell r="AT67" t="str">
            <v>ADMINISTRACION</v>
          </cell>
        </row>
        <row r="68">
          <cell r="A68">
            <v>67</v>
          </cell>
          <cell r="B68" t="str">
            <v>CAROL ANGELICA CERCADO</v>
          </cell>
          <cell r="C68" t="str">
            <v>CD-DTAM NACION-CPS No. 067 - 2022</v>
          </cell>
          <cell r="D68" t="str">
            <v>RUBI NEYI MENDEZ YEPES</v>
          </cell>
          <cell r="E68">
            <v>1121198753</v>
          </cell>
          <cell r="F68">
            <v>21030</v>
          </cell>
          <cell r="G68">
            <v>80111701</v>
          </cell>
          <cell r="H68" t="str">
            <v>11</v>
          </cell>
          <cell r="I68" t="str">
            <v>Prestar apoyo técnico en la gestión del PNN Río Puré y su zona de influencia sector norte (La Pedrera), en la implementación de la estrategia nacional de educación ambiental y comunicaciones de PNN.</v>
          </cell>
          <cell r="K68" t="str">
            <v>10 meses 29 dIas</v>
          </cell>
          <cell r="L68">
            <v>25630000</v>
          </cell>
          <cell r="M68">
            <v>2330000</v>
          </cell>
          <cell r="N68" t="str">
            <v>PNN RIO PURE</v>
          </cell>
          <cell r="O68" t="str">
            <v>NO</v>
          </cell>
          <cell r="P68">
            <v>4322</v>
          </cell>
          <cell r="R68">
            <v>9422</v>
          </cell>
          <cell r="S68">
            <v>44586</v>
          </cell>
          <cell r="T68" t="str">
            <v>C-3202-0900-4-0-3202008-02</v>
          </cell>
          <cell r="U68" t="str">
            <v>Otros servicios profesionales y técnicos n.c.p.</v>
          </cell>
          <cell r="V68">
            <v>8560</v>
          </cell>
          <cell r="W68">
            <v>301045085</v>
          </cell>
          <cell r="Y68">
            <v>44586</v>
          </cell>
          <cell r="Z68">
            <v>44918</v>
          </cell>
          <cell r="AB68" t="str">
            <v>NA</v>
          </cell>
          <cell r="AC68" t="str">
            <v>ALEXANDER ALFONSO SEGURA</v>
          </cell>
          <cell r="AF68" t="str">
            <v>PNN RIO PURE</v>
          </cell>
          <cell r="AG68" t="str">
            <v>https://www.secop.gov.co/CO1ContractsManagement/Tendering/ProcurementContractEdit/View?docUniqueIdentifier=CO1.PCCNTR.3397309&amp;awardUniqueIdentifier=&amp;buyerDossierUniqueIdentifier=CO1.BDOS.2689969&amp;id=1652720&amp;prevCtxUrl=https%3a%2f%2fwww.secop.gov.co%2fCO1BusinessLine%2fTendering%2fBuyerDossierWorkspace%2fIndex%3fsortingState%3dLastModifiedDESC%26showAdvancedSearch%3dFalse%26showAdvancedSearchFields%3dFalse%26selectedDossier%3dCO1.BDOS.2689969%26selectedRequest%3dCO1.REQ.2765707%26&amp;prevCtxLbl=Procesos+de+la+Entidad+Estatal</v>
          </cell>
          <cell r="AH68">
            <v>329</v>
          </cell>
          <cell r="AI68" t="str">
            <v>6 NO CONSTITUYÓ GARANTÍAS</v>
          </cell>
          <cell r="AJ68" t="str">
            <v>PNN Río Puré</v>
          </cell>
          <cell r="AK68" t="str">
            <v>N/A</v>
          </cell>
          <cell r="AL68" t="str">
            <v>N/A</v>
          </cell>
          <cell r="AM68" t="str">
            <v>N/A</v>
          </cell>
          <cell r="AN68" t="str">
            <v>N/A</v>
          </cell>
          <cell r="AO68">
            <v>79672176</v>
          </cell>
          <cell r="AP68" t="str">
            <v>https://www.secop.gov.co/CO1ContractsManagement/Tendering/ProcurementContractEdit/View?docUniqueIdentifier=CO1.PCCNTR.3412600</v>
          </cell>
          <cell r="AQ68">
            <v>44586</v>
          </cell>
          <cell r="AR68">
            <v>44586</v>
          </cell>
          <cell r="AS68">
            <v>301045085</v>
          </cell>
          <cell r="AT68" t="str">
            <v>ADMINISTRACION</v>
          </cell>
        </row>
        <row r="69">
          <cell r="A69">
            <v>68</v>
          </cell>
          <cell r="B69" t="str">
            <v>LAURA CAROLINA CORREA RAMIREZ</v>
          </cell>
          <cell r="C69" t="str">
            <v>CD-DTAM NACION-CPS No. 068 - 2022</v>
          </cell>
          <cell r="D69" t="str">
            <v>ROSENDO MIRAÑA MIRAÑA</v>
          </cell>
          <cell r="E69">
            <v>1121202177</v>
          </cell>
          <cell r="F69">
            <v>24002</v>
          </cell>
          <cell r="G69">
            <v>80111701</v>
          </cell>
          <cell r="H69" t="str">
            <v>11</v>
          </cell>
          <cell r="I69" t="str">
            <v>Prestar servicios asistenciales y de apoyo a la gestión que permitan adelantar los trabajos operativos y logísticos en la cabaña del área no municipalizada de La Pedrera y que faciliten la implementación de las estrategias de manejo priorizadas por los Parques Nacionales Naturales Río Puré, Cahuinarí y Yaigojé Apaporis y el buen estado de la infraestructura del secto</v>
          </cell>
          <cell r="J69">
            <v>44585</v>
          </cell>
          <cell r="K69" t="str">
            <v>11 meses</v>
          </cell>
          <cell r="L69">
            <v>15532000</v>
          </cell>
          <cell r="M69">
            <v>1412000</v>
          </cell>
          <cell r="N69" t="str">
            <v>PNN CAHUINARI</v>
          </cell>
          <cell r="O69" t="str">
            <v>NO</v>
          </cell>
          <cell r="P69">
            <v>10722</v>
          </cell>
          <cell r="Q69">
            <v>20225140001403</v>
          </cell>
          <cell r="R69">
            <v>9622</v>
          </cell>
          <cell r="S69">
            <v>44587</v>
          </cell>
          <cell r="T69" t="str">
            <v>C-3202-0900-4-0-3202032-02</v>
          </cell>
          <cell r="W69">
            <v>301048648</v>
          </cell>
          <cell r="Y69">
            <v>44586</v>
          </cell>
          <cell r="Z69">
            <v>44919</v>
          </cell>
          <cell r="AB69" t="str">
            <v>NA</v>
          </cell>
          <cell r="AC69" t="str">
            <v>IVAN DARIO QUICENO GALLEGO</v>
          </cell>
          <cell r="AF69" t="str">
            <v>LA PEDRERA, AMAZONAS</v>
          </cell>
          <cell r="AG69" t="str">
            <v>https://www.secop.gov.co/CO1ContractsManagement/Tendering/ProcurementContractEdit/View?docUniqueIdentifier=CO1.PCCNTR.3412600&amp;awardUniqueIdentifier=&amp;buyerDossierUniqueIdentifier=CO1.BDOS.2703586&amp;id=1667778&amp;prevCtxUrl=https%3a%2f%2fwww.secop.gov.co%2fCO1BusinessLine%2fTendering%2fBuyerDossierWorkspace%2fIndex%3fsortingState%3dLastModifiedDESC%26showAdvancedSearch%3dFalse%26showAdvancedSearchFields%3dFalse%26selectedDossier%3dCO1.BDOS.2703586%26selectedRequest%3dCO1.REQ.2778614%26&amp;prevCtxLbl=Procesos+de+la+Entidad+Estatal</v>
          </cell>
          <cell r="AH69">
            <v>330</v>
          </cell>
          <cell r="AI69" t="str">
            <v>6 NO CONSTITUYÓ GARANTÍAS</v>
          </cell>
          <cell r="AJ69" t="str">
            <v>PNN Cahuinari</v>
          </cell>
          <cell r="AK69" t="str">
            <v>N/A</v>
          </cell>
          <cell r="AL69" t="str">
            <v>N/A</v>
          </cell>
          <cell r="AM69" t="str">
            <v>N/A</v>
          </cell>
          <cell r="AN69" t="str">
            <v>N/A</v>
          </cell>
          <cell r="AO69">
            <v>10289238</v>
          </cell>
          <cell r="AP69" t="str">
            <v>https://www.secop.gov.co/CO1ContractsManagement/Tendering/ProcurementContractEdit/View?docUniqueIdentifier=CO1.PCCNTR.3425541</v>
          </cell>
          <cell r="AQ69">
            <v>44586</v>
          </cell>
          <cell r="AR69">
            <v>44587</v>
          </cell>
          <cell r="AS69">
            <v>301048648</v>
          </cell>
          <cell r="AT69" t="str">
            <v>ADMINISTRACION</v>
          </cell>
        </row>
        <row r="70">
          <cell r="A70">
            <v>69</v>
          </cell>
          <cell r="B70" t="str">
            <v>ALEJANDRO DELGADO LOZANO</v>
          </cell>
          <cell r="C70" t="str">
            <v>CD-DTAM NACION-CPS No. 069 - 2022</v>
          </cell>
          <cell r="D70" t="str">
            <v>MONICA ANDREA RIVERA</v>
          </cell>
          <cell r="E70">
            <v>1122726060</v>
          </cell>
          <cell r="F70">
            <v>25015</v>
          </cell>
          <cell r="G70">
            <v>80111701</v>
          </cell>
          <cell r="H70" t="str">
            <v>11</v>
          </cell>
          <cell r="I70" t="str">
            <v>Prestar servicios técnicos para desarrollar actividades administrativas de ejecución presupuestal y de soporte a los mecanismos de planeación, evaluación y seguimiento de los programas del sistema integrado de gestión del PNN La Paya.</v>
          </cell>
          <cell r="J70">
            <v>44587</v>
          </cell>
          <cell r="K70" t="str">
            <v>11 meses</v>
          </cell>
          <cell r="L70">
            <v>30935000</v>
          </cell>
          <cell r="M70">
            <v>2812000</v>
          </cell>
          <cell r="N70" t="str">
            <v>PNN LA PAYA</v>
          </cell>
          <cell r="O70" t="str">
            <v>NO</v>
          </cell>
          <cell r="P70">
            <v>11022</v>
          </cell>
          <cell r="Q70">
            <v>20225000001403</v>
          </cell>
          <cell r="R70">
            <v>12422</v>
          </cell>
          <cell r="S70">
            <v>44588</v>
          </cell>
          <cell r="T70" t="str">
            <v>C-3299-0900-2-0-3299060-02</v>
          </cell>
          <cell r="U70" t="str">
            <v>OTROS SERVICIOS PROFESIONALES Y TÉCNICOS N,C,P</v>
          </cell>
          <cell r="V70" t="str">
            <v>3900-8211</v>
          </cell>
          <cell r="W70" t="str">
            <v>301049354*27/01/2022</v>
          </cell>
          <cell r="Y70">
            <v>44587</v>
          </cell>
          <cell r="Z70">
            <v>44919</v>
          </cell>
          <cell r="AB70" t="str">
            <v>NA</v>
          </cell>
          <cell r="AC70" t="str">
            <v>JEFERSON ROJAS NIETO</v>
          </cell>
          <cell r="AF70" t="str">
            <v>PUERTO LEGUIZAMO</v>
          </cell>
          <cell r="AG70" t="str">
            <v>https://community.secop.gov.co/Public/Tendering/OpportunityDetail/Index?noticeUID=CO1.NTC.2715105&amp;isFromPublicArea=True&amp;isModal=False</v>
          </cell>
          <cell r="AH70">
            <v>330</v>
          </cell>
          <cell r="AI70" t="str">
            <v>6 NO CONSTITUYÓ GARANTÍAS</v>
          </cell>
          <cell r="AJ70" t="str">
            <v>PNN La Paya</v>
          </cell>
          <cell r="AK70" t="str">
            <v>N/A</v>
          </cell>
          <cell r="AL70" t="str">
            <v>N/A</v>
          </cell>
          <cell r="AM70" t="str">
            <v>N/A</v>
          </cell>
          <cell r="AN70" t="str">
            <v>N/A</v>
          </cell>
          <cell r="AO70">
            <v>93404206</v>
          </cell>
          <cell r="AP70" t="str">
            <v>https://www.secop.gov.co/CO1ContractsManagement/Tendering/ProcurementContractEdit/View?docUniqueIdentifier=CO1.PCCNTR.3454527</v>
          </cell>
          <cell r="AQ70">
            <v>44587</v>
          </cell>
          <cell r="AR70">
            <v>44588</v>
          </cell>
          <cell r="AS70">
            <v>301049354</v>
          </cell>
          <cell r="AT70" t="str">
            <v>FORTALECIMIENTO</v>
          </cell>
        </row>
        <row r="71">
          <cell r="A71">
            <v>70</v>
          </cell>
          <cell r="B71" t="str">
            <v>ALEJANDRO DELGADO LOZANO</v>
          </cell>
          <cell r="C71" t="str">
            <v>CD-DTAM NACION-CPS No. 070 - 2022</v>
          </cell>
          <cell r="D71" t="str">
            <v>LORENA ESPERANZA REYES MARUNLANDA</v>
          </cell>
          <cell r="E71">
            <v>1122725851</v>
          </cell>
          <cell r="F71">
            <v>25009</v>
          </cell>
          <cell r="G71">
            <v>80111701</v>
          </cell>
          <cell r="H71" t="str">
            <v>11</v>
          </cell>
          <cell r="I71" t="str">
            <v>Prestar servicios técnicos y administrativos que aporten al proceso de relacionamiento para la construcción de acuerdos de uso y la implementación de los planes de acción de los Acuerdos Políticos de Voluntades entre ACILAPP, APKAC y ACIPS y el PNN La Paya..</v>
          </cell>
          <cell r="J71">
            <v>44587</v>
          </cell>
          <cell r="K71" t="str">
            <v>11 meses</v>
          </cell>
          <cell r="L71">
            <v>25629000</v>
          </cell>
          <cell r="M71">
            <v>2329000</v>
          </cell>
          <cell r="N71" t="str">
            <v>PNN LA PAYA</v>
          </cell>
          <cell r="O71" t="str">
            <v>NO</v>
          </cell>
          <cell r="P71">
            <v>11622</v>
          </cell>
          <cell r="Q71">
            <v>20225000001413</v>
          </cell>
          <cell r="R71">
            <v>12322</v>
          </cell>
          <cell r="S71">
            <v>44588</v>
          </cell>
          <cell r="T71" t="str">
            <v>C-3202-0900-4-0-3202008-02</v>
          </cell>
          <cell r="U71" t="str">
            <v>SERVICIOS PRESTADOS A LAS EMPRESAS Y SERVICIOS DE PRODUCCIÓN</v>
          </cell>
          <cell r="V71" t="str">
            <v>7490-9103</v>
          </cell>
          <cell r="W71" t="str">
            <v>301049426*27/01/2022</v>
          </cell>
          <cell r="Y71">
            <v>44588</v>
          </cell>
          <cell r="Z71">
            <v>44921</v>
          </cell>
          <cell r="AB71" t="str">
            <v>NA</v>
          </cell>
          <cell r="AC71" t="str">
            <v>JEFERSON ROJAS NIETO</v>
          </cell>
          <cell r="AF71" t="str">
            <v>PUERTO LEGUIZAMO</v>
          </cell>
          <cell r="AG71" t="str">
            <v>https://community.secop.gov.co/Public/Tendering/OpportunityDetail/Index?noticeUID=CO1.NTC.2706055&amp;isFromPublicArea=True&amp;isModal=False</v>
          </cell>
          <cell r="AH71">
            <v>330</v>
          </cell>
          <cell r="AI71" t="str">
            <v>6 NO CONSTITUYÓ GARANTÍAS</v>
          </cell>
          <cell r="AJ71" t="str">
            <v>PNN La Paya</v>
          </cell>
          <cell r="AK71" t="str">
            <v>N/A</v>
          </cell>
          <cell r="AL71" t="str">
            <v>N/A</v>
          </cell>
          <cell r="AM71" t="str">
            <v>N/A</v>
          </cell>
          <cell r="AN71" t="str">
            <v>N/A</v>
          </cell>
          <cell r="AO71">
            <v>93404206</v>
          </cell>
          <cell r="AP71" t="str">
            <v>https://www.secop.gov.co/CO1ContractsManagement/Tendering/ProcurementContractEdit/View?docUniqueIdentifier=CO1.PCCNTR.3458764</v>
          </cell>
          <cell r="AQ71">
            <v>44587</v>
          </cell>
          <cell r="AR71">
            <v>44588</v>
          </cell>
          <cell r="AS71">
            <v>301049426</v>
          </cell>
          <cell r="AT71" t="str">
            <v>ADMINISTRACION</v>
          </cell>
        </row>
        <row r="72">
          <cell r="A72">
            <v>71</v>
          </cell>
          <cell r="B72" t="str">
            <v>NORYLY AGUIRRE OTALORA</v>
          </cell>
          <cell r="C72" t="str">
            <v>CD-DTAM NACION-CPS No. 071 - 2022</v>
          </cell>
          <cell r="D72" t="str">
            <v>LEYDER JOHAN COVALEDA RAMOS</v>
          </cell>
          <cell r="E72">
            <v>1006811567</v>
          </cell>
          <cell r="I72" t="str">
            <v>Prestación de servicios de un Operario (Experto Local) campesino en el área operativa como apoyo a la gestión relacionada con el fortalecimiento del proceso de Uso Ocupación y Tenencia y Ordenamiento Ambiental que se adelanta en el Área Protegida.</v>
          </cell>
          <cell r="K72" t="str">
            <v>11 meses</v>
          </cell>
          <cell r="L72">
            <v>15532000</v>
          </cell>
          <cell r="M72">
            <v>1412000</v>
          </cell>
          <cell r="N72" t="str">
            <v>PNN NUKAK</v>
          </cell>
          <cell r="O72" t="str">
            <v>NO</v>
          </cell>
          <cell r="P72">
            <v>10622</v>
          </cell>
          <cell r="R72">
            <v>9222</v>
          </cell>
          <cell r="S72">
            <v>44586</v>
          </cell>
          <cell r="T72" t="str">
            <v>C-3202-0900-4-0-3202031-02</v>
          </cell>
          <cell r="Y72">
            <v>44588</v>
          </cell>
          <cell r="Z72">
            <v>44921</v>
          </cell>
          <cell r="AB72" t="str">
            <v>NA</v>
          </cell>
          <cell r="AC72" t="str">
            <v>VICTOR SETINA</v>
          </cell>
          <cell r="AF72" t="str">
            <v>EL RETORNO, GUAVIARE</v>
          </cell>
          <cell r="AG72" t="str">
            <v>https://community.secop.gov.co/Public/Tendering/OpportunityDetail/Index?noticeUID=CO1.NTC.2741416&amp;isFromPublicArea=True&amp;isModal=False</v>
          </cell>
          <cell r="AH72">
            <v>330</v>
          </cell>
          <cell r="AI72" t="str">
            <v>6 NO CONSTITUYÓ GARANTÍAS</v>
          </cell>
          <cell r="AJ72" t="str">
            <v>RNN Nukak</v>
          </cell>
          <cell r="AK72" t="str">
            <v>N/A</v>
          </cell>
          <cell r="AL72" t="str">
            <v>N/A</v>
          </cell>
          <cell r="AM72" t="str">
            <v>N/A</v>
          </cell>
          <cell r="AN72" t="str">
            <v>N/A</v>
          </cell>
          <cell r="AO72">
            <v>86014797</v>
          </cell>
          <cell r="AP72" t="str">
            <v>https://www.secop.gov.co/CO1ContractsManagement/Tendering/ProcurementContractEdit/View?docUniqueIdentifier=CO1.PCCNTR.3413276</v>
          </cell>
          <cell r="AQ72">
            <v>44586</v>
          </cell>
          <cell r="AR72">
            <v>44586</v>
          </cell>
          <cell r="AS72">
            <v>301045051</v>
          </cell>
          <cell r="AT72" t="str">
            <v>ADMINISTRACION</v>
          </cell>
        </row>
        <row r="73">
          <cell r="A73">
            <v>72</v>
          </cell>
          <cell r="B73" t="str">
            <v>LAURA CAROLINA CORREA RAMIREZ</v>
          </cell>
          <cell r="C73" t="str">
            <v>CD-DTAM NACION-CPS No. 072 - 2022</v>
          </cell>
          <cell r="D73" t="str">
            <v>WILLIAM HUMBERTO FIGUEROA RODRÍGUEZ</v>
          </cell>
          <cell r="E73">
            <v>1070782267</v>
          </cell>
          <cell r="F73">
            <v>21030</v>
          </cell>
          <cell r="G73">
            <v>80111701</v>
          </cell>
          <cell r="H73" t="str">
            <v>11</v>
          </cell>
          <cell r="I73" t="str">
            <v>Prestar servicios técnicos y de apoyo a la gestión en el área de archivo de gestión de la Dirección Territorial Amazonía para la organización de la documentación física, así como foliación, rotulación e inventario documental</v>
          </cell>
          <cell r="J73">
            <v>44586</v>
          </cell>
          <cell r="K73" t="str">
            <v>11 meses</v>
          </cell>
          <cell r="L73">
            <v>30932000</v>
          </cell>
          <cell r="M73">
            <v>2812000</v>
          </cell>
          <cell r="N73" t="str">
            <v>DTAM</v>
          </cell>
          <cell r="O73" t="str">
            <v>NO</v>
          </cell>
          <cell r="P73">
            <v>3122</v>
          </cell>
          <cell r="Q73">
            <v>20225000000123</v>
          </cell>
          <cell r="R73">
            <v>10022</v>
          </cell>
          <cell r="S73">
            <v>44587</v>
          </cell>
          <cell r="T73" t="str">
            <v>C-3299-0900-2-0-3299060-02</v>
          </cell>
          <cell r="W73">
            <v>301048680</v>
          </cell>
          <cell r="Y73">
            <v>44586</v>
          </cell>
          <cell r="Z73">
            <v>44919</v>
          </cell>
          <cell r="AB73" t="str">
            <v>NA</v>
          </cell>
          <cell r="AC73" t="str">
            <v>CLAUDIA OFELIA MANRIQUE ROA</v>
          </cell>
          <cell r="AF73" t="str">
            <v>BOGOTA</v>
          </cell>
          <cell r="AG73" t="str">
            <v>https://community.secop.gov.co/Public/Tendering/ContractNoticePhases/View?PPI=CO1.PPI.17116320&amp;isFromPublicArea=True&amp;isModal=False</v>
          </cell>
          <cell r="AH73">
            <v>330</v>
          </cell>
          <cell r="AI73" t="str">
            <v>6 NO CONSTITUYÓ GARANTÍAS</v>
          </cell>
          <cell r="AJ73" t="str">
            <v>RNN Nukak</v>
          </cell>
          <cell r="AK73" t="str">
            <v>N/A</v>
          </cell>
          <cell r="AL73" t="str">
            <v>N/A</v>
          </cell>
          <cell r="AM73" t="str">
            <v>N/A</v>
          </cell>
          <cell r="AN73" t="str">
            <v>N/A</v>
          </cell>
          <cell r="AO73">
            <v>41674698</v>
          </cell>
          <cell r="AP73" t="str">
            <v>https://www.secop.gov.co/CO1ContractsManagement/Tendering/ProcurementContractEdit/View?docUniqueIdentifier=CO1.PCCNTR.3426958</v>
          </cell>
          <cell r="AQ73">
            <v>44586</v>
          </cell>
          <cell r="AR73">
            <v>44587</v>
          </cell>
          <cell r="AS73">
            <v>301048680</v>
          </cell>
          <cell r="AT73" t="str">
            <v>FORTALECIMIENTO</v>
          </cell>
        </row>
        <row r="74">
          <cell r="A74">
            <v>73</v>
          </cell>
          <cell r="B74" t="str">
            <v>CAROL ANGELICA CERCADO</v>
          </cell>
          <cell r="C74" t="str">
            <v>CD-DTAM NACION-CPS No. 073 - 2022</v>
          </cell>
          <cell r="D74" t="str">
            <v>OSCAR DANIEL BUITRAGO SOTO</v>
          </cell>
          <cell r="E74">
            <v>80223560</v>
          </cell>
          <cell r="F74">
            <v>26012</v>
          </cell>
          <cell r="G74">
            <v>80111701</v>
          </cell>
          <cell r="H74" t="str">
            <v>11</v>
          </cell>
          <cell r="I74" t="str">
            <v>Prestar servicios profesionales para fortalecer la función pública de la conservación entre el PNN Río Puré y las Autoridades Indígenas presentes en la zona de influencia del sector sur (AIZA).</v>
          </cell>
          <cell r="J74">
            <v>44588</v>
          </cell>
          <cell r="K74" t="str">
            <v>11 meses</v>
          </cell>
          <cell r="L74">
            <v>44690000</v>
          </cell>
          <cell r="M74">
            <v>4100000</v>
          </cell>
          <cell r="N74" t="str">
            <v>PNN RIO PURE</v>
          </cell>
          <cell r="O74" t="str">
            <v>NO</v>
          </cell>
          <cell r="P74">
            <v>4222</v>
          </cell>
          <cell r="R74">
            <v>15522</v>
          </cell>
          <cell r="S74">
            <v>44589</v>
          </cell>
          <cell r="T74" t="str">
            <v>C-3202-0900-4-0-3202008-02</v>
          </cell>
          <cell r="U74" t="str">
            <v>Otros servicios profesionales y técnicos n.c.p.</v>
          </cell>
          <cell r="V74">
            <v>7490</v>
          </cell>
          <cell r="W74">
            <v>301057490</v>
          </cell>
          <cell r="Y74">
            <v>44587</v>
          </cell>
          <cell r="Z74">
            <v>44919</v>
          </cell>
          <cell r="AB74" t="str">
            <v>NA</v>
          </cell>
          <cell r="AC74" t="str">
            <v>ALEXANDER ALFONSO SEGURA</v>
          </cell>
          <cell r="AF74" t="str">
            <v>PNN RIO PURE</v>
          </cell>
          <cell r="AG74" t="str">
            <v>https://community.secop.gov.co/Public/Tendering/OpportunityDetail/Index?noticeUID=CO1.NTC.2716327&amp;isFromPublicArea=True&amp;isModal=False</v>
          </cell>
          <cell r="AH74">
            <v>330</v>
          </cell>
          <cell r="AI74" t="str">
            <v>6 NO CONSTITUYÓ GARANTÍAS</v>
          </cell>
          <cell r="AJ74" t="str">
            <v>PNN Río Puré</v>
          </cell>
          <cell r="AK74" t="str">
            <v>N/A</v>
          </cell>
          <cell r="AL74" t="str">
            <v>N/A</v>
          </cell>
          <cell r="AM74" t="str">
            <v>N/A</v>
          </cell>
          <cell r="AN74" t="str">
            <v>N/A</v>
          </cell>
          <cell r="AO74">
            <v>79672176</v>
          </cell>
          <cell r="AP74" t="str">
            <v>https://www.secop.gov.co/CO1ContractsManagement/Tendering/ProcurementContractEdit/View?docUniqueIdentifier=CO1.PCCNTR.3507496</v>
          </cell>
          <cell r="AQ74">
            <v>44589</v>
          </cell>
          <cell r="AR74">
            <v>44589</v>
          </cell>
          <cell r="AS74">
            <v>301057490</v>
          </cell>
          <cell r="AT74" t="str">
            <v>ADMINISTRACION</v>
          </cell>
        </row>
        <row r="75">
          <cell r="A75">
            <v>74</v>
          </cell>
          <cell r="B75" t="str">
            <v>CAROL ANGELICA CERCADO</v>
          </cell>
          <cell r="C75" t="str">
            <v>CD-DTAM NACION-CPS No. 074 - 2022</v>
          </cell>
          <cell r="D75" t="str">
            <v>XYOMARA CARRETERO PINZÓN</v>
          </cell>
          <cell r="E75">
            <v>52272735</v>
          </cell>
          <cell r="F75">
            <v>26009</v>
          </cell>
          <cell r="G75">
            <v>80111701</v>
          </cell>
          <cell r="H75" t="str">
            <v>11</v>
          </cell>
          <cell r="I75" t="str">
            <v>Prestar servicios profesionales para avanzar en la consolidación y fortalecimiento del Sistema de Información del PNN Río Puré, en la actualización e implementación de su Programa de Monitoreo</v>
          </cell>
          <cell r="J75">
            <v>44586</v>
          </cell>
          <cell r="K75" t="str">
            <v>10 meses 27 dias</v>
          </cell>
          <cell r="L75">
            <v>44690000</v>
          </cell>
          <cell r="M75">
            <v>4100000</v>
          </cell>
          <cell r="N75" t="str">
            <v>PNN RIO PURE</v>
          </cell>
          <cell r="O75" t="str">
            <v>NO</v>
          </cell>
          <cell r="P75">
            <v>4522</v>
          </cell>
          <cell r="R75">
            <v>11422</v>
          </cell>
          <cell r="S75">
            <v>44587</v>
          </cell>
          <cell r="T75" t="str">
            <v>C-3202-0900-4-0-3202004-02</v>
          </cell>
          <cell r="U75" t="str">
            <v>Otros servicios profesionales y técnicos n.c.p.</v>
          </cell>
          <cell r="V75">
            <v>7210</v>
          </cell>
          <cell r="W75">
            <v>301048613</v>
          </cell>
          <cell r="Y75">
            <v>44589</v>
          </cell>
          <cell r="Z75">
            <v>44920</v>
          </cell>
          <cell r="AB75" t="str">
            <v>NA</v>
          </cell>
          <cell r="AC75" t="str">
            <v>ALEXANDER ALFONSO SEGURA</v>
          </cell>
          <cell r="AF75" t="str">
            <v>PNN RIO PURE</v>
          </cell>
          <cell r="AG75" t="str">
            <v>https://www.secop.gov.co/CO1ContractsManagement/Tendering/ProcurementContractEdit/View?docUniqueIdentifier=CO1.PCCNTR.3507496&amp;awardUniqueIdentifier=&amp;buyerDossierUniqueIdentifier=CO1.BDOS.2720844&amp;id=1756879&amp;prevCtxUrl=https%3a%2f%2fwww.secop.gov.co%2fCO1BusinessLine%2fTendering%2fBuyerDossierWorkspace%2fIndex%3fsortingState%3dLastModifiedDESC%26showAdvancedSearch%3dFalse%26showAdvancedSearchFields%3dFalse%26selectedDossier%3dCO1.BDOS.2720844%26selectedRequest%3dCO1.REQ.2797093%26&amp;prevCtxLbl=Procesos+de+la+Entidad+Estatal</v>
          </cell>
          <cell r="AH75">
            <v>328</v>
          </cell>
          <cell r="AI75" t="str">
            <v>6 NO CONSTITUYÓ GARANTÍAS</v>
          </cell>
          <cell r="AJ75" t="str">
            <v>PNN Río Puré</v>
          </cell>
          <cell r="AK75" t="str">
            <v>N/A</v>
          </cell>
          <cell r="AL75" t="str">
            <v>N/A</v>
          </cell>
          <cell r="AM75" t="str">
            <v>N/A</v>
          </cell>
          <cell r="AN75" t="str">
            <v>N/A</v>
          </cell>
          <cell r="AO75">
            <v>79672176</v>
          </cell>
          <cell r="AP75" t="str">
            <v>https://www.secop.gov.co/CO1ContractsManagement/Tendering/ProcurementContractEdit/View?docUniqueIdentifier=CO1.PCCNTR.3429813</v>
          </cell>
          <cell r="AQ75">
            <v>44587</v>
          </cell>
          <cell r="AR75">
            <v>44587</v>
          </cell>
          <cell r="AS75">
            <v>301048613</v>
          </cell>
          <cell r="AT75" t="str">
            <v>ADMINISTRACION</v>
          </cell>
        </row>
        <row r="76">
          <cell r="A76">
            <v>75</v>
          </cell>
          <cell r="B76" t="str">
            <v>CAROL ANGELICA CERCADO</v>
          </cell>
          <cell r="C76" t="str">
            <v>CD-DTAM NACION-CPS No. 075 - 2022</v>
          </cell>
          <cell r="D76" t="str">
            <v>MARÍA SALOMÉ ARAMBURO CALLE</v>
          </cell>
          <cell r="E76">
            <v>43871926</v>
          </cell>
          <cell r="F76">
            <v>23003</v>
          </cell>
          <cell r="G76">
            <v>80111701</v>
          </cell>
          <cell r="H76" t="str">
            <v>11</v>
          </cell>
          <cell r="I76" t="str">
            <v>Prestar servicios profesionales y de apoyo a la gestión del Parque Nacional Natural Amacayacu para implementar el ecoturismo en área protegida según lo establecido en el plan de ordenamiento ecoturístico.</v>
          </cell>
          <cell r="J76">
            <v>44586</v>
          </cell>
          <cell r="K76" t="str">
            <v>10 meses 27 dias</v>
          </cell>
          <cell r="L76">
            <v>55930000</v>
          </cell>
          <cell r="M76">
            <v>5100000</v>
          </cell>
          <cell r="N76" t="str">
            <v>PNN AMACAYACU</v>
          </cell>
          <cell r="O76" t="str">
            <v>NO</v>
          </cell>
          <cell r="P76">
            <v>4022</v>
          </cell>
          <cell r="R76">
            <v>9922</v>
          </cell>
          <cell r="S76">
            <v>44587</v>
          </cell>
          <cell r="T76" t="str">
            <v>C-3202-0900-4-0-3202010-02</v>
          </cell>
          <cell r="U76" t="str">
            <v>Otros servicios profesionales y técnicos n.c.p.</v>
          </cell>
          <cell r="V76">
            <v>7490</v>
          </cell>
          <cell r="W76">
            <v>301048389</v>
          </cell>
          <cell r="Y76">
            <v>44587</v>
          </cell>
          <cell r="Z76">
            <v>44918</v>
          </cell>
          <cell r="AB76" t="str">
            <v>380-47-994000123968</v>
          </cell>
          <cell r="AC76" t="str">
            <v>ELIANA MARTINEZ RUEDA</v>
          </cell>
          <cell r="AF76" t="str">
            <v>PNN AMACAYACU</v>
          </cell>
          <cell r="AG76" t="str">
            <v>https://www.secop.gov.co/CO1ContractsManagement/Tendering/ProcurementContractEdit/View?docUniqueIdentifier=CO1.PCCNTR.3429813&amp;awardUniqueIdentifier=&amp;buyerDossierUniqueIdentifier=CO1.BDOS.2718261&amp;id=1682969&amp;prevCtxUrl=https%3a%2f%2fwww.secop.gov.co%2fCO1BusinessLine%2fTendering%2fBuyerDossierWorkspace%2fIndex%3fsortingState%3dLastModifiedDESC%26showAdvancedSearch%3dFalse%26showAdvancedSearchFields%3dFalse%26selectedDossier%3dCO1.BDOS.2718261%26selectedRequest%3dCO1.REQ.2791433%26&amp;prevCtxLbl=Procesos+de+la+Entidad+Estatal</v>
          </cell>
          <cell r="AH76">
            <v>327</v>
          </cell>
          <cell r="AI76" t="str">
            <v>6 NO CONSTITUYÓ GARANTÍAS</v>
          </cell>
          <cell r="AJ76" t="str">
            <v>PNN Amacayacu</v>
          </cell>
          <cell r="AK76" t="str">
            <v>N/A</v>
          </cell>
          <cell r="AL76" t="str">
            <v>N/A</v>
          </cell>
          <cell r="AM76" t="str">
            <v>N/A</v>
          </cell>
          <cell r="AN76" t="str">
            <v>N/A</v>
          </cell>
          <cell r="AO76">
            <v>51935320</v>
          </cell>
          <cell r="AP76" t="str">
            <v>https://www.secop.gov.co/CO1ContractsManagement/Tendering/ProcurementContractEdit/View?docUniqueIdentifier=CO1.PCCNTR.3416738</v>
          </cell>
          <cell r="AQ76">
            <v>44586</v>
          </cell>
          <cell r="AR76">
            <v>44587</v>
          </cell>
          <cell r="AS76">
            <v>301048389</v>
          </cell>
          <cell r="AT76" t="str">
            <v>ADMINISTRACION</v>
          </cell>
        </row>
        <row r="77">
          <cell r="A77">
            <v>76</v>
          </cell>
          <cell r="B77" t="str">
            <v>LAURA CAROLINA CORREA RAMIREZ</v>
          </cell>
          <cell r="C77" t="str">
            <v>CD-DTAM NACION-CPS No. 076 - 2022</v>
          </cell>
          <cell r="D77" t="str">
            <v>LEIDY CAROLINA ROJAS ROJAS</v>
          </cell>
          <cell r="E77">
            <v>1030575813</v>
          </cell>
          <cell r="F77">
            <v>21028</v>
          </cell>
          <cell r="G77">
            <v>80111701</v>
          </cell>
          <cell r="H77" t="str">
            <v>11</v>
          </cell>
          <cell r="I77" t="str">
            <v>Prestar servicios profesionales en el eje de planeación y seguimiento institucional en la Dirección Territorial Amazonía de acuerdo a los lineamientos establecidos por Parques Nacionales Naturales de Colombia</v>
          </cell>
          <cell r="J77">
            <v>44586</v>
          </cell>
          <cell r="K77" t="str">
            <v>10 meses 29 dIas</v>
          </cell>
          <cell r="L77">
            <v>65351467</v>
          </cell>
          <cell r="M77">
            <v>6304000</v>
          </cell>
          <cell r="N77" t="str">
            <v>DTAM</v>
          </cell>
          <cell r="O77" t="str">
            <v>SI</v>
          </cell>
          <cell r="P77">
            <v>13122</v>
          </cell>
          <cell r="Q77">
            <v>20225050000123</v>
          </cell>
          <cell r="R77">
            <v>11222</v>
          </cell>
          <cell r="S77">
            <v>44587</v>
          </cell>
          <cell r="T77" t="str">
            <v>C-3299-0900-2-0-3299054-02</v>
          </cell>
          <cell r="W77">
            <v>301053183</v>
          </cell>
          <cell r="Y77">
            <v>44587</v>
          </cell>
          <cell r="Z77">
            <v>44918</v>
          </cell>
          <cell r="AB77" t="str">
            <v>14-46-101068378</v>
          </cell>
          <cell r="AC77" t="str">
            <v>NANCY ESPERANZA RIVERA VEGA</v>
          </cell>
          <cell r="AF77" t="str">
            <v>BOGOTA</v>
          </cell>
          <cell r="AG77" t="str">
            <v>https://www.secop.gov.co/CO1ContractsManagement/Tendering/ProcurementContractEdit/View?docUniqueIdentifier=CO1.PCCNTR.3416738&amp;awardUniqueIdentifier=&amp;buyerDossierUniqueIdentifier=CO1.BDOS.2708019&amp;id=1671118&amp;prevCtxUrl=https%3a%2f%2fwww.secop.gov.co%2fCO1BusinessLine%2fTendering%2fBuyerDossierWorkspace%2fIndex%3fsortingState%3dLastModifiedDESC%26showAdvancedSearch%3dFalse%26showAdvancedSearchFields%3dFalse%26selectedDossier%3dCO1.BDOS.2708019%26selectedRequest%3dCO1.REQ.2781449%26&amp;prevCtxLbl=Procesos+de+la+Entidad+Estatal</v>
          </cell>
          <cell r="AH77">
            <v>329</v>
          </cell>
          <cell r="AI77" t="str">
            <v>1 PÓLIZA</v>
          </cell>
          <cell r="AJ77" t="str">
            <v>Dirección Territorial Amazonía</v>
          </cell>
          <cell r="AK77" t="str">
            <v>12 SEGUROS DEL ESTADO</v>
          </cell>
          <cell r="AL77">
            <v>44587</v>
          </cell>
          <cell r="AM77" t="str">
            <v>14-46-101068378</v>
          </cell>
          <cell r="AN77">
            <v>44587</v>
          </cell>
          <cell r="AO77">
            <v>91297841</v>
          </cell>
          <cell r="AP77" t="str">
            <v>https://www.secop.gov.co/CO1ContractsManagement/Tendering/ProcurementContractEdit/View?docUniqueIdentifier=CO1.PCCNTR.3434650</v>
          </cell>
          <cell r="AQ77">
            <v>44587</v>
          </cell>
          <cell r="AR77">
            <v>44589</v>
          </cell>
          <cell r="AS77">
            <v>301053183</v>
          </cell>
          <cell r="AT77" t="str">
            <v>FORTALECIMIENTO</v>
          </cell>
        </row>
        <row r="78">
          <cell r="A78">
            <v>77</v>
          </cell>
          <cell r="B78" t="str">
            <v>CAROL ANGELICA CERCADO</v>
          </cell>
          <cell r="C78" t="str">
            <v>CD-DTAM NACION-CPS No. 077 - 2022</v>
          </cell>
          <cell r="D78" t="str">
            <v>JEYKELL RODOLFO PINILLA GONZALEZ</v>
          </cell>
          <cell r="E78">
            <v>80369703</v>
          </cell>
          <cell r="F78">
            <v>23003</v>
          </cell>
          <cell r="G78">
            <v>80111701</v>
          </cell>
          <cell r="H78" t="str">
            <v>11</v>
          </cell>
          <cell r="I78" t="str">
            <v>Prestar servicios profesionales especializados y de apoyo a la gestión en la línea de estrategias especiales de manejo del PNN Amacayacu</v>
          </cell>
          <cell r="J78">
            <v>44586</v>
          </cell>
          <cell r="K78" t="str">
            <v>10 meses 11 dias</v>
          </cell>
          <cell r="L78">
            <v>55930000</v>
          </cell>
          <cell r="M78">
            <v>5100000</v>
          </cell>
          <cell r="N78" t="str">
            <v>PNN AMACAYACU</v>
          </cell>
          <cell r="O78" t="str">
            <v>SI</v>
          </cell>
          <cell r="P78">
            <v>8422</v>
          </cell>
          <cell r="R78">
            <v>10222</v>
          </cell>
          <cell r="S78">
            <v>44587</v>
          </cell>
          <cell r="T78" t="str">
            <v>C-3202-0900-4-0-3202008-02</v>
          </cell>
          <cell r="U78" t="str">
            <v>Otros servicios profesionales y técnicos n.c.p.</v>
          </cell>
          <cell r="V78">
            <v>7020</v>
          </cell>
          <cell r="W78">
            <v>301053952</v>
          </cell>
          <cell r="Y78">
            <v>44588</v>
          </cell>
          <cell r="Z78">
            <v>44901</v>
          </cell>
          <cell r="AB78" t="str">
            <v>380-47-994000124451</v>
          </cell>
          <cell r="AC78" t="str">
            <v>ELIANA MARTINEZ RUEDA</v>
          </cell>
          <cell r="AF78" t="str">
            <v>PNN AMACAYACU</v>
          </cell>
          <cell r="AG78" t="str">
            <v>https://community.secop.gov.co/Public/Tendering/ContractNoticePhases/View?PPI=CO1.PPI.16941651&amp;isFromPublicArea=True&amp;isModal=False</v>
          </cell>
          <cell r="AH78">
            <v>311</v>
          </cell>
          <cell r="AI78" t="str">
            <v>1 PÓLIZA</v>
          </cell>
          <cell r="AJ78" t="str">
            <v>PNN Amacayacu</v>
          </cell>
          <cell r="AK78" t="str">
            <v>14 ASEGURADORA SOLIDARIA</v>
          </cell>
          <cell r="AL78">
            <v>44588</v>
          </cell>
          <cell r="AM78" t="str">
            <v>380-47-994000124451</v>
          </cell>
          <cell r="AN78">
            <v>44588</v>
          </cell>
          <cell r="AO78">
            <v>51935320</v>
          </cell>
          <cell r="AP78" t="str">
            <v>https://www.secop.gov.co/CO1ContractsManagement/Tendering/ProcurementContractEdit/View?docUniqueIdentifier=CO1.PCCNTR.3424080</v>
          </cell>
          <cell r="AQ78">
            <v>44586</v>
          </cell>
          <cell r="AR78">
            <v>44589</v>
          </cell>
          <cell r="AS78">
            <v>301053952</v>
          </cell>
          <cell r="AT78" t="str">
            <v>ADMINISTRACION</v>
          </cell>
        </row>
        <row r="79">
          <cell r="A79">
            <v>78</v>
          </cell>
          <cell r="B79" t="str">
            <v>LAURA CAROLINA CORREA RAMIREZ</v>
          </cell>
          <cell r="C79" t="str">
            <v>CD-DTAM NACION-CPS No. 078 - 2022</v>
          </cell>
          <cell r="D79" t="str">
            <v>HÉCTOR HERNÁN ACOSTA USECHE</v>
          </cell>
          <cell r="E79">
            <v>80274148</v>
          </cell>
          <cell r="F79">
            <v>21007</v>
          </cell>
          <cell r="G79">
            <v>80111701</v>
          </cell>
          <cell r="H79" t="str">
            <v>11</v>
          </cell>
          <cell r="I79" t="str">
            <v>Prestar servicios profesionales en el componente de sistemas de información geográfica, así como brindar orientación y soporte a las áreas protegidas en la utilización de plataformas de sensores remotos y cartografía de acuerdo a los lineamientos establecidos por Parques Nacionales Naturales de Colombia</v>
          </cell>
          <cell r="J79">
            <v>44586</v>
          </cell>
          <cell r="K79" t="str">
            <v>10 meses 29 dIas</v>
          </cell>
          <cell r="L79">
            <v>62510000</v>
          </cell>
          <cell r="M79">
            <v>5700000</v>
          </cell>
          <cell r="N79" t="str">
            <v>DTAM</v>
          </cell>
          <cell r="O79" t="str">
            <v>SI</v>
          </cell>
          <cell r="P79">
            <v>12622</v>
          </cell>
          <cell r="Q79">
            <v>20225050000043</v>
          </cell>
          <cell r="R79">
            <v>10322</v>
          </cell>
          <cell r="S79">
            <v>44587</v>
          </cell>
          <cell r="T79" t="str">
            <v>C-3202-0900-4-0-3202032-02</v>
          </cell>
          <cell r="W79">
            <v>301048714</v>
          </cell>
          <cell r="Y79">
            <v>44589</v>
          </cell>
          <cell r="Z79">
            <v>44920</v>
          </cell>
          <cell r="AB79" t="str">
            <v>14-46-101069111</v>
          </cell>
          <cell r="AC79" t="str">
            <v>NANCY ESPERANZA RIVERA VEGA</v>
          </cell>
          <cell r="AF79" t="str">
            <v>BOGOTA</v>
          </cell>
          <cell r="AG79" t="str">
            <v>https://www.secop.gov.co/CO1ContractsManagement/Tendering/ProcurementContractEdit/View?docUniqueIdentifier=CO1.PCCNTR.3424080&amp;awardUniqueIdentifier=&amp;buyerDossierUniqueIdentifier=CO1.BDOS.2713193&amp;id=1677853&amp;prevCtxUrl=https%3a%2f%2fwww.secop.gov.co%2fCO1BusinessLine%2fTendering%2fBuyerDossierWorkspace%2fIndex%3fsortingState%3dLastModifiedDESC%26showAdvancedSearch%3dFalse%26showAdvancedSearchFields%3dFalse%26selectedDossier%3dCO1.BDOS.2713193%26selectedRequest%3dCO1.REQ.2787479%26&amp;prevCtxLbl=Procesos+de+la+Entidad+Estatal</v>
          </cell>
          <cell r="AH79">
            <v>329</v>
          </cell>
          <cell r="AI79" t="str">
            <v>1 PÓLIZA</v>
          </cell>
          <cell r="AJ79" t="str">
            <v>Dirección Territorial Amazonía</v>
          </cell>
          <cell r="AK79" t="str">
            <v>12 SEGUROS DEL ESTADO</v>
          </cell>
          <cell r="AL79">
            <v>44587</v>
          </cell>
          <cell r="AM79" t="str">
            <v>14-46-101069111</v>
          </cell>
          <cell r="AN79">
            <v>44587</v>
          </cell>
          <cell r="AO79">
            <v>91297841</v>
          </cell>
          <cell r="AP79" t="str">
            <v>https://www.secop.gov.co/CO1ContractsManagement/Tendering/ProcurementContractEdit/View?docUniqueIdentifier=CO1.PCCNTR.3434849</v>
          </cell>
          <cell r="AQ79">
            <v>44587</v>
          </cell>
          <cell r="AR79">
            <v>44587</v>
          </cell>
          <cell r="AS79">
            <v>301048714</v>
          </cell>
          <cell r="AT79" t="str">
            <v>ADMINISTRACION</v>
          </cell>
        </row>
        <row r="80">
          <cell r="A80">
            <v>79</v>
          </cell>
          <cell r="B80" t="str">
            <v>LAURA CAROLINA CORREA RAMIREZ</v>
          </cell>
          <cell r="C80" t="str">
            <v>CD-DTAM NACION-CPS No. 079 - 2022</v>
          </cell>
          <cell r="D80" t="str">
            <v>HUGO ERNESTO CARVAJAL TRIANA</v>
          </cell>
          <cell r="E80">
            <v>1110455494</v>
          </cell>
          <cell r="F80">
            <v>21007</v>
          </cell>
          <cell r="G80">
            <v>80111701</v>
          </cell>
          <cell r="H80" t="str">
            <v>11</v>
          </cell>
          <cell r="I80" t="str">
            <v>Prestar servicios profesionales a la línea de Autoridad Ambiental y gestión del riesgo de desastres en el marco de los lineamientos establecidos por Parques Nacionales Naturales de Colombia</v>
          </cell>
          <cell r="J80">
            <v>44586</v>
          </cell>
          <cell r="K80" t="str">
            <v>10 meses 29 dIas</v>
          </cell>
          <cell r="L80">
            <v>62510000</v>
          </cell>
          <cell r="M80">
            <v>5700000</v>
          </cell>
          <cell r="N80" t="str">
            <v>DTAM</v>
          </cell>
          <cell r="O80" t="str">
            <v>SI</v>
          </cell>
          <cell r="P80">
            <v>12522</v>
          </cell>
          <cell r="Q80">
            <v>20225050000033</v>
          </cell>
          <cell r="R80">
            <v>10922</v>
          </cell>
          <cell r="S80">
            <v>44587</v>
          </cell>
          <cell r="T80" t="str">
            <v>C-3202-0900-4-0-3202032-02</v>
          </cell>
          <cell r="W80">
            <v>301051323</v>
          </cell>
          <cell r="Y80">
            <v>44587</v>
          </cell>
          <cell r="Z80">
            <v>44919</v>
          </cell>
          <cell r="AB80" t="str">
            <v>14-46-101069342</v>
          </cell>
          <cell r="AC80" t="str">
            <v>NANCY ESPERANZA RIVERA VEGA</v>
          </cell>
          <cell r="AF80" t="str">
            <v>BOGOTA</v>
          </cell>
          <cell r="AG80" t="str">
            <v>https://community.secop.gov.co/Public/Tendering/OpportunityDetail/Index?noticeUID=CO1.NTC.2721821&amp;isFromPublicArea=True&amp;isModal=False</v>
          </cell>
          <cell r="AH80">
            <v>329</v>
          </cell>
          <cell r="AI80" t="str">
            <v>1 PÓLIZA</v>
          </cell>
          <cell r="AJ80" t="str">
            <v>Dirección Territorial Amazonía</v>
          </cell>
          <cell r="AK80" t="str">
            <v>12 SEGUROS DEL ESTADO</v>
          </cell>
          <cell r="AL80">
            <v>44587</v>
          </cell>
          <cell r="AM80" t="str">
            <v>14-46-101069342</v>
          </cell>
          <cell r="AN80">
            <v>44588</v>
          </cell>
          <cell r="AO80">
            <v>91297841</v>
          </cell>
          <cell r="AP80" t="str">
            <v>https://www.secop.gov.co/CO1ContractsManagement/Tendering/ProcurementContractEdit/View?docUniqueIdentifier=CO1.PCCNTR.3435181</v>
          </cell>
          <cell r="AQ80">
            <v>44587</v>
          </cell>
          <cell r="AR80">
            <v>44588</v>
          </cell>
          <cell r="AS80">
            <v>301051323</v>
          </cell>
          <cell r="AT80" t="str">
            <v>ADMINISTRACION</v>
          </cell>
        </row>
        <row r="81">
          <cell r="A81">
            <v>80</v>
          </cell>
          <cell r="B81" t="str">
            <v>LAURA CAROLINA CORREA RAMIREZ</v>
          </cell>
          <cell r="C81" t="str">
            <v>CD-DTAM NACION-CPS No. 080 - 2022</v>
          </cell>
          <cell r="D81" t="str">
            <v>OSCAR MAURICIO JAIMES SÁNCHEZ</v>
          </cell>
          <cell r="E81">
            <v>1110457351</v>
          </cell>
          <cell r="F81">
            <v>21011</v>
          </cell>
          <cell r="G81">
            <v>80111701</v>
          </cell>
          <cell r="H81" t="str">
            <v>11</v>
          </cell>
          <cell r="I81" t="str">
            <v>Prestar servicios profesionales para orientar procesos de restauración ecológica, la suscripción y sostenimiento de acuerdos para la conservación y el apoyo a las acciones para el manejo y solución de conflictos de uso y ocupación con comunidades campesinas al interior de los parques adscritos a la Dirección Territorial Amazonía de acuerdo a los lineamientos de Parques Nacionales de Colombia</v>
          </cell>
          <cell r="J81">
            <v>44586</v>
          </cell>
          <cell r="K81" t="str">
            <v>10 meses 29 dIas</v>
          </cell>
          <cell r="L81">
            <v>62510000</v>
          </cell>
          <cell r="M81">
            <v>5700000</v>
          </cell>
          <cell r="N81" t="str">
            <v>DTAM</v>
          </cell>
          <cell r="O81" t="str">
            <v>SI</v>
          </cell>
          <cell r="P81">
            <v>12722</v>
          </cell>
          <cell r="Q81">
            <v>20225050000053</v>
          </cell>
          <cell r="R81">
            <v>10122</v>
          </cell>
          <cell r="S81">
            <v>44587</v>
          </cell>
          <cell r="T81" t="str">
            <v>C-3202-0900-4-0-3202031-02</v>
          </cell>
          <cell r="W81">
            <v>301050046</v>
          </cell>
          <cell r="Y81">
            <v>44587</v>
          </cell>
          <cell r="Z81">
            <v>44919</v>
          </cell>
          <cell r="AB81" t="str">
            <v>16-46-101069119</v>
          </cell>
          <cell r="AC81" t="str">
            <v>NANCY ESPERANZA RIVERA VEGA</v>
          </cell>
          <cell r="AF81" t="str">
            <v>BOGOTA</v>
          </cell>
          <cell r="AG81" t="str">
            <v>https://community.secop.gov.co/Public/Tendering/OpportunityDetail/Index?noticeUID=CO1.NTC.2721596&amp;isFromPublicArea=True&amp;isModal=False</v>
          </cell>
          <cell r="AH81">
            <v>329</v>
          </cell>
          <cell r="AI81" t="str">
            <v>1 PÓLIZA</v>
          </cell>
          <cell r="AJ81" t="str">
            <v>Dirección Territorial Amazonía</v>
          </cell>
          <cell r="AK81" t="str">
            <v>12 SEGUROS DEL ESTADO</v>
          </cell>
          <cell r="AL81">
            <v>44587</v>
          </cell>
          <cell r="AM81" t="str">
            <v>14-46-101069119</v>
          </cell>
          <cell r="AN81">
            <v>44587</v>
          </cell>
          <cell r="AO81">
            <v>91297841</v>
          </cell>
          <cell r="AP81" t="str">
            <v>https://www.secop.gov.co/CO1ContractsManagement/Tendering/ProcurementContractEdit/View?docUniqueIdentifier=CO1.PCCNTR.3435097</v>
          </cell>
          <cell r="AQ81">
            <v>44587</v>
          </cell>
          <cell r="AR81">
            <v>44588</v>
          </cell>
          <cell r="AS81">
            <v>301050046</v>
          </cell>
          <cell r="AT81" t="str">
            <v>ADMINISTRACION</v>
          </cell>
        </row>
        <row r="82">
          <cell r="A82">
            <v>81</v>
          </cell>
          <cell r="B82" t="str">
            <v>NORYLY AGUIRRE OTALORA</v>
          </cell>
          <cell r="C82" t="str">
            <v>CD-DTAM NACION-CPS No. 081 - 2022</v>
          </cell>
          <cell r="D82" t="str">
            <v>FELIX ANDRES PINZÓN SALINAS</v>
          </cell>
          <cell r="E82">
            <v>1075664649</v>
          </cell>
          <cell r="I82" t="str">
            <v>Prestar servicios profesionales en la DTAM, para ejecutar las actividades del
área de procesos corporativos en los aplicativos que disponga la Entidad para
tal fin, de conformidad la normatividad vigente, así como los procesos y
procedimientos establecidos de acuerdo el sistema integrado de gestión.</v>
          </cell>
          <cell r="K82" t="str">
            <v>10 meses 29 dIas</v>
          </cell>
          <cell r="L82">
            <v>33000000</v>
          </cell>
          <cell r="M82">
            <v>3000000</v>
          </cell>
          <cell r="N82" t="str">
            <v>DTAM</v>
          </cell>
          <cell r="O82" t="str">
            <v>NO</v>
          </cell>
          <cell r="P82">
            <v>13822</v>
          </cell>
          <cell r="R82">
            <v>9822</v>
          </cell>
          <cell r="S82">
            <v>44585</v>
          </cell>
          <cell r="T82" t="str">
            <v>C-3299-0900-2-0-3299060-02</v>
          </cell>
          <cell r="Y82">
            <v>44588</v>
          </cell>
          <cell r="Z82">
            <v>44919</v>
          </cell>
          <cell r="AB82" t="str">
            <v>NA</v>
          </cell>
          <cell r="AC82" t="str">
            <v>CLAUDIA OFELIA MANRIQUE ROA</v>
          </cell>
          <cell r="AF82" t="str">
            <v>BOGOTA</v>
          </cell>
          <cell r="AG82" t="str">
            <v>https://community.secop.gov.co/Public/Tendering/OpportunityDetail/Index?noticeUID=CO1.NTC.2721937&amp;isFromPublicArea=True&amp;isModal=False</v>
          </cell>
          <cell r="AH82">
            <v>329</v>
          </cell>
          <cell r="AI82" t="str">
            <v>6 NO CONSTITUYÓ GARANTÍAS</v>
          </cell>
          <cell r="AJ82" t="str">
            <v>Dirección Territorial Amazonía</v>
          </cell>
          <cell r="AK82" t="str">
            <v>N/A</v>
          </cell>
          <cell r="AL82" t="str">
            <v>N/A</v>
          </cell>
          <cell r="AM82" t="str">
            <v>N/A</v>
          </cell>
          <cell r="AN82" t="str">
            <v>N/A</v>
          </cell>
          <cell r="AO82">
            <v>41674698</v>
          </cell>
          <cell r="AP82" t="str">
            <v>https://www.secop.gov.co/CO1ContractsManagement/Tendering/ProcurementContractEdit/View?docUniqueIdentifier=CO1.PCCNTR.3425514</v>
          </cell>
          <cell r="AQ82">
            <v>44586</v>
          </cell>
          <cell r="AR82">
            <v>44596</v>
          </cell>
          <cell r="AS82">
            <v>301068998</v>
          </cell>
          <cell r="AT82" t="str">
            <v>FORTALECIMIENTO</v>
          </cell>
        </row>
        <row r="83">
          <cell r="A83">
            <v>82</v>
          </cell>
          <cell r="B83" t="str">
            <v>CAROL ANGELICA CERCADO</v>
          </cell>
          <cell r="C83" t="str">
            <v>CD-DTAM NACION-CPS No. 082 - 2022</v>
          </cell>
          <cell r="D83" t="str">
            <v>JOEL MURAYARI SINARAHUA</v>
          </cell>
          <cell r="E83">
            <v>1122270001</v>
          </cell>
          <cell r="F83">
            <v>23007</v>
          </cell>
          <cell r="G83">
            <v>80111701</v>
          </cell>
          <cell r="H83" t="str">
            <v>11</v>
          </cell>
          <cell r="I83" t="str">
            <v>Prestar servicios asistenciales y de apoyo operativos al sur del PNN Amacayacu en el sector de Matamatá</v>
          </cell>
          <cell r="J83">
            <v>44587</v>
          </cell>
          <cell r="K83" t="str">
            <v>11 meses</v>
          </cell>
          <cell r="L83">
            <v>15532000</v>
          </cell>
          <cell r="M83">
            <v>1412000</v>
          </cell>
          <cell r="N83" t="str">
            <v>PNN AMACAYACU</v>
          </cell>
          <cell r="O83" t="str">
            <v>NO</v>
          </cell>
          <cell r="P83">
            <v>5422</v>
          </cell>
          <cell r="R83">
            <v>12022</v>
          </cell>
          <cell r="S83">
            <v>44587</v>
          </cell>
          <cell r="T83" t="str">
            <v>C-3202-0900-4-0-3202032-02</v>
          </cell>
          <cell r="U83" t="str">
            <v>Otros servicios profesionales y técnicos n.c.p.</v>
          </cell>
          <cell r="V83">
            <v>4922</v>
          </cell>
          <cell r="W83">
            <v>301051811</v>
          </cell>
          <cell r="Y83">
            <v>44587</v>
          </cell>
          <cell r="AB83" t="str">
            <v>NA</v>
          </cell>
          <cell r="AC83" t="str">
            <v>ELIANA MARTINEZ RUEDA</v>
          </cell>
          <cell r="AF83" t="str">
            <v>PNN AMACAYACU</v>
          </cell>
          <cell r="AG83" t="str">
            <v>https://community.secop.gov.co/Public/Tendering/ContractNoticePhases/View?PPI=CO1.PPI.17145760&amp;isFromPublicArea=True&amp;isModal=False</v>
          </cell>
          <cell r="AH83">
            <v>330</v>
          </cell>
          <cell r="AI83" t="str">
            <v>6 NO CONSTITUYÓ GARANTÍAS</v>
          </cell>
          <cell r="AJ83" t="str">
            <v>PNN Amacayacu</v>
          </cell>
          <cell r="AK83" t="str">
            <v>N/A</v>
          </cell>
          <cell r="AL83" t="str">
            <v>N/A</v>
          </cell>
          <cell r="AM83" t="str">
            <v>N/A</v>
          </cell>
          <cell r="AN83" t="str">
            <v>N/A</v>
          </cell>
          <cell r="AO83">
            <v>51935320</v>
          </cell>
          <cell r="AP83" t="str">
            <v>https://www.secop.gov.co/CO1ContractsManagement/Tendering/ProcurementContractEdit/View?docUniqueIdentifier=CO1.PCCNTR.3440740</v>
          </cell>
          <cell r="AQ83">
            <v>44587</v>
          </cell>
          <cell r="AR83">
            <v>44588</v>
          </cell>
          <cell r="AS83">
            <v>301051811</v>
          </cell>
          <cell r="AT83" t="str">
            <v>ADMINISTRACION</v>
          </cell>
        </row>
        <row r="84">
          <cell r="A84">
            <v>83</v>
          </cell>
          <cell r="B84" t="str">
            <v>CAROL ANGELICA CERCADO</v>
          </cell>
          <cell r="C84" t="str">
            <v>CD-DTAM NACION-CPS No. 083 - 2022</v>
          </cell>
          <cell r="D84" t="str">
            <v>DUBIAN ALEXANDER JORDAN BENITEZ</v>
          </cell>
          <cell r="E84">
            <v>1122270001</v>
          </cell>
          <cell r="F84">
            <v>23007</v>
          </cell>
          <cell r="G84">
            <v>80111701</v>
          </cell>
          <cell r="H84" t="str">
            <v>11</v>
          </cell>
          <cell r="I84" t="str">
            <v>Prestar servicios asistenciales y de apoyo a la gestión en actividades de regulación, uso y aprovechamiento de los recursos naturales para la protección del Parque Nacional Natural Amacayacu</v>
          </cell>
          <cell r="J84">
            <v>44587</v>
          </cell>
          <cell r="K84" t="str">
            <v>11 meses</v>
          </cell>
          <cell r="L84">
            <v>15532000</v>
          </cell>
          <cell r="M84">
            <v>1412000</v>
          </cell>
          <cell r="N84" t="str">
            <v>PNN AMACAYACU</v>
          </cell>
          <cell r="O84" t="str">
            <v>NO</v>
          </cell>
          <cell r="P84">
            <v>5722</v>
          </cell>
          <cell r="R84">
            <v>12222</v>
          </cell>
          <cell r="S84">
            <v>44588</v>
          </cell>
          <cell r="T84" t="str">
            <v>C-3202-0900-4-0-3202032-02</v>
          </cell>
          <cell r="U84" t="str">
            <v>Otros servicios profesionales y técnicos n.c.p.</v>
          </cell>
          <cell r="V84">
            <v>9609</v>
          </cell>
          <cell r="W84">
            <v>301051854</v>
          </cell>
          <cell r="Y84">
            <v>44587</v>
          </cell>
          <cell r="Z84">
            <v>44920</v>
          </cell>
          <cell r="AB84" t="str">
            <v>NA</v>
          </cell>
          <cell r="AC84" t="str">
            <v>ELIANA MARTINEZ RUEDA</v>
          </cell>
          <cell r="AF84" t="str">
            <v>PNN AMACAYACU</v>
          </cell>
          <cell r="AG84" t="str">
            <v>https://www.secop.gov.co/CO1ContractsManagement/Tendering/ProcurementContractEdit/View?docUniqueIdentifier=CO1.PCCNTR.3440740&amp;awardUniqueIdentifier=&amp;buyerDossierUniqueIdentifier=CO1.BDOS.2725395&amp;id=1693196&amp;prevCtxUrl=https%3a%2f%2fwww.secop.gov.co%2fCO1BusinessLine%2fTendering%2fBuyerDossierWorkspace%2fIndex%3fsortingState%3dLastModifiedDESC%26showAdvancedSearch%3dFalse%26showAdvancedSearchFields%3dFalse%26selectedDossier%3dCO1.BDOS.2725395%26selectedRequest%3dCO1.REQ.2802366%26&amp;prevCtxLbl=Procesos+de+la+Entidad+Estatal</v>
          </cell>
          <cell r="AH84">
            <v>330</v>
          </cell>
          <cell r="AI84" t="str">
            <v>6 NO CONSTITUYÓ GARANTÍAS</v>
          </cell>
          <cell r="AJ84" t="str">
            <v>PNN Amacayacu</v>
          </cell>
          <cell r="AK84" t="str">
            <v>N/A</v>
          </cell>
          <cell r="AL84" t="str">
            <v>N/A</v>
          </cell>
          <cell r="AM84" t="str">
            <v>N/A</v>
          </cell>
          <cell r="AN84" t="str">
            <v>N/A</v>
          </cell>
          <cell r="AO84">
            <v>51935320</v>
          </cell>
          <cell r="AP84" t="str">
            <v>https://www.secop.gov.co/CO1ContractsManagement/Tendering/ProcurementContractEdit/View?docUniqueIdentifier=CO1.PCCNTR.3459590</v>
          </cell>
          <cell r="AQ84">
            <v>44587</v>
          </cell>
          <cell r="AR84">
            <v>44588</v>
          </cell>
          <cell r="AS84">
            <v>301051854</v>
          </cell>
          <cell r="AT84" t="str">
            <v>ADMINISTRACION</v>
          </cell>
        </row>
        <row r="85">
          <cell r="A85">
            <v>84</v>
          </cell>
          <cell r="B85" t="str">
            <v>CAROL ANGELICA CERCADO</v>
          </cell>
          <cell r="C85" t="str">
            <v>CD-DTAM NACION-CPS No. 084 - 2022</v>
          </cell>
          <cell r="D85" t="str">
            <v>ANA MELITA PANDURO RODRIGUEZ</v>
          </cell>
          <cell r="E85">
            <v>1122267142</v>
          </cell>
          <cell r="F85">
            <v>23007</v>
          </cell>
          <cell r="G85">
            <v>80111701</v>
          </cell>
          <cell r="H85" t="str">
            <v>11</v>
          </cell>
          <cell r="I85" t="str">
            <v>Prestar servicios asistenciales y de apoyo a la gestión en actividades de regulación, uso y aprovechamiento de los recursos naturales en el Parque Nacional Natural Amacayacu.</v>
          </cell>
          <cell r="J85">
            <v>44587</v>
          </cell>
          <cell r="K85" t="str">
            <v>11 meses</v>
          </cell>
          <cell r="L85">
            <v>15532000</v>
          </cell>
          <cell r="M85">
            <v>1412000</v>
          </cell>
          <cell r="N85" t="str">
            <v>PNN AMACAYACU</v>
          </cell>
          <cell r="O85" t="str">
            <v>NO</v>
          </cell>
          <cell r="P85">
            <v>5622</v>
          </cell>
          <cell r="R85">
            <v>12122</v>
          </cell>
          <cell r="S85">
            <v>44588</v>
          </cell>
          <cell r="T85" t="str">
            <v>C-3202-0900-4-0-3202032-02</v>
          </cell>
          <cell r="U85" t="str">
            <v>Otros servicios profesionales y técnicos n.c.p.</v>
          </cell>
          <cell r="V85">
            <v>9609</v>
          </cell>
          <cell r="W85">
            <v>301051840</v>
          </cell>
          <cell r="Y85">
            <v>44587</v>
          </cell>
          <cell r="Z85">
            <v>44920</v>
          </cell>
          <cell r="AB85" t="str">
            <v>NA</v>
          </cell>
          <cell r="AC85" t="str">
            <v>ELIANA MARTINEZ RUEDA</v>
          </cell>
          <cell r="AF85" t="str">
            <v>PNN AMACAYACU</v>
          </cell>
          <cell r="AG85" t="str">
            <v>https://www.secop.gov.co/CO1ContractsManagement/Tendering/ProcurementContractEdit/View?docUniqueIdentifier=CO1.PCCNTR.3459590&amp;awardUniqueIdentifier=&amp;buyerDossierUniqueIdentifier=CO1.BDOS.2729683&amp;id=1711479&amp;prevCtxUrl=https%3a%2f%2fwww.secop.gov.co%2fCO1BusinessLine%2fTendering%2fBuyerDossierWorkspace%2fIndex%3fsortingState%3dLastModifiedDESC%26showAdvancedSearch%3dFalse%26showAdvancedSearchFields%3dFalse%26selectedDossier%3dCO1.BDOS.2729683%26selectedRequest%3dCO1.REQ.2807991%26&amp;prevCtxLbl=Procesos+de+la+Entidad+Estatal</v>
          </cell>
          <cell r="AH85">
            <v>330</v>
          </cell>
          <cell r="AI85" t="str">
            <v>6 NO CONSTITUYÓ GARANTÍAS</v>
          </cell>
          <cell r="AJ85" t="str">
            <v>PNN Amacayacu</v>
          </cell>
          <cell r="AK85" t="str">
            <v>N/A</v>
          </cell>
          <cell r="AL85" t="str">
            <v>N/A</v>
          </cell>
          <cell r="AM85" t="str">
            <v>N/A</v>
          </cell>
          <cell r="AN85" t="str">
            <v>N/A</v>
          </cell>
          <cell r="AO85">
            <v>51935320</v>
          </cell>
          <cell r="AP85" t="str">
            <v>https://www.secop.gov.co/CO1ContractsManagement/Tendering/ProcurementContractEdit/View?docUniqueIdentifier=CO1.PCCNTR.3456529</v>
          </cell>
          <cell r="AQ85">
            <v>44587</v>
          </cell>
          <cell r="AR85">
            <v>44588</v>
          </cell>
          <cell r="AS85">
            <v>301051840</v>
          </cell>
          <cell r="AT85" t="str">
            <v>ADMINISTRACION</v>
          </cell>
        </row>
        <row r="86">
          <cell r="A86">
            <v>85</v>
          </cell>
          <cell r="B86" t="str">
            <v>LAURA CAROLINA CORREA RAMIREZ</v>
          </cell>
          <cell r="C86" t="str">
            <v>CD-DTAM NACION-CPS No. 085 - 2022</v>
          </cell>
          <cell r="D86" t="str">
            <v>DAVID NAPOLEÓN NOVOA MAHECHA</v>
          </cell>
          <cell r="E86">
            <v>80082576</v>
          </cell>
          <cell r="F86">
            <v>21018</v>
          </cell>
          <cell r="G86">
            <v>80111701</v>
          </cell>
          <cell r="H86" t="str">
            <v>11</v>
          </cell>
          <cell r="I86" t="str">
            <v>Prestar servicios profesionales para fortalecer los procesos de construcción, implementación y seguimiento de los acuerdos políticos con pueblos indígenas y revisión de los mecanismos políticos como estrategias de manejo y protección de la diversidad biológica y cultural en el marco de la función social de acuerdo a los lineamientos establecidos por Parques Nacionales Naturales de Colombia</v>
          </cell>
          <cell r="J86">
            <v>44587</v>
          </cell>
          <cell r="K86" t="str">
            <v>11 meses</v>
          </cell>
          <cell r="L86">
            <v>69344000</v>
          </cell>
          <cell r="M86">
            <v>6304000</v>
          </cell>
          <cell r="N86" t="str">
            <v>DTAM</v>
          </cell>
          <cell r="O86" t="str">
            <v>NO</v>
          </cell>
          <cell r="P86">
            <v>13022</v>
          </cell>
          <cell r="Q86">
            <v>20225050000083</v>
          </cell>
          <cell r="R86">
            <v>11122</v>
          </cell>
          <cell r="S86">
            <v>44587</v>
          </cell>
          <cell r="T86" t="str">
            <v>C-3202-0900-4-0-3202008-02</v>
          </cell>
          <cell r="W86">
            <v>301050006</v>
          </cell>
          <cell r="Y86">
            <v>44588</v>
          </cell>
          <cell r="Z86">
            <v>44920</v>
          </cell>
          <cell r="AB86" t="str">
            <v>18-46-101013587</v>
          </cell>
          <cell r="AC86" t="str">
            <v>NANCY ESPERANZA RIVERA VEGA</v>
          </cell>
          <cell r="AF86" t="str">
            <v>BOGOTA</v>
          </cell>
          <cell r="AG86" t="str">
            <v>https://www.secop.gov.co/CO1ContractsManagement/Tendering/ProcurementContractEdit/View?docUniqueIdentifier=CO1.PCCNTR.3456529&amp;awardUniqueIdentifier=&amp;buyerDossierUniqueIdentifier=CO1.BDOS.2727165&amp;id=1708240&amp;prevCtxUrl=https%3a%2f%2fwww.secop.gov.co%2fCO1BusinessLine%2fTendering%2fBuyerDossierWorkspace%2fIndex%3fsortingState%3dLastModifiedDESC%26showAdvancedSearch%3dFalse%26showAdvancedSearchFields%3dFalse%26selectedDossier%3dCO1.BDOS.2727165%26selectedRequest%3dCO1.REQ.2804221%26&amp;prevCtxLbl=Procesos+de+la+Entidad+Estatal</v>
          </cell>
          <cell r="AH86">
            <v>330</v>
          </cell>
          <cell r="AI86" t="str">
            <v>6 NO CONSTITUYÓ GARANTÍAS</v>
          </cell>
          <cell r="AJ86" t="str">
            <v>Dirección Territorial Amazonía</v>
          </cell>
          <cell r="AK86" t="str">
            <v>N/A</v>
          </cell>
          <cell r="AL86" t="str">
            <v>N/A</v>
          </cell>
          <cell r="AM86" t="str">
            <v>N/A</v>
          </cell>
          <cell r="AN86" t="str">
            <v>N/A</v>
          </cell>
          <cell r="AO86">
            <v>91297841</v>
          </cell>
          <cell r="AP86" t="str">
            <v>https://www.secop.gov.co/CO1ContractsManagement/Tendering/ProcurementContractEdit/View?docUniqueIdentifier=CO1.PCCNTR.3435381</v>
          </cell>
          <cell r="AQ86">
            <v>44587</v>
          </cell>
          <cell r="AR86">
            <v>44588</v>
          </cell>
          <cell r="AS86">
            <v>301050006</v>
          </cell>
          <cell r="AT86" t="str">
            <v>ADMINISTRACION</v>
          </cell>
        </row>
        <row r="87">
          <cell r="A87">
            <v>86</v>
          </cell>
          <cell r="B87" t="str">
            <v>LAURA CAROLINA CORREA RAMIREZ</v>
          </cell>
          <cell r="C87" t="str">
            <v>CD-DTAM NACION-CPS No. 086 - 2022</v>
          </cell>
          <cell r="D87" t="str">
            <v>SANDRA TATIANA LOSADA ROJAS</v>
          </cell>
          <cell r="E87">
            <v>53001713</v>
          </cell>
          <cell r="F87">
            <v>21014</v>
          </cell>
          <cell r="G87">
            <v>80111701</v>
          </cell>
          <cell r="H87" t="str">
            <v>11</v>
          </cell>
          <cell r="I87" t="str">
            <v>Prestar servicios profesionales a la línea de investigación y monitoreo de las Prioridades Integrales y Valores Objeto de Conservación (PIC/VOC) de las áreas protegidas de la Dirección Territorial Amazonía de acuerdo a los lineamientos establecidos por Parques Nacionales Naturales de Colombia</v>
          </cell>
          <cell r="J87">
            <v>44587</v>
          </cell>
          <cell r="K87" t="str">
            <v>11 meses</v>
          </cell>
          <cell r="L87">
            <v>62510000</v>
          </cell>
          <cell r="M87">
            <v>5700000</v>
          </cell>
          <cell r="N87" t="str">
            <v>DTAM</v>
          </cell>
          <cell r="O87" t="str">
            <v>SI</v>
          </cell>
          <cell r="P87">
            <v>12822</v>
          </cell>
          <cell r="Q87">
            <v>20225050000073</v>
          </cell>
          <cell r="R87">
            <v>62510</v>
          </cell>
          <cell r="S87">
            <v>44587</v>
          </cell>
          <cell r="T87" t="str">
            <v>C-3202-0900-4-0-3202004-02</v>
          </cell>
          <cell r="W87">
            <v>301050067</v>
          </cell>
          <cell r="Y87">
            <v>44588</v>
          </cell>
          <cell r="Z87">
            <v>44920</v>
          </cell>
          <cell r="AB87" t="str">
            <v>14-46-101069130</v>
          </cell>
          <cell r="AC87" t="str">
            <v>NANCY ESPERANZA RIVERA VEGA</v>
          </cell>
          <cell r="AF87" t="str">
            <v>BOGOTA</v>
          </cell>
          <cell r="AG87" t="str">
            <v>https://community.secop.gov.co/Public/Tendering/OpportunityDetail/Index?noticeUID=CO1.NTC.2722350&amp;isFromPublicArea=True&amp;isModal=False</v>
          </cell>
          <cell r="AH87">
            <v>330</v>
          </cell>
          <cell r="AI87" t="str">
            <v>1 PÓLIZA</v>
          </cell>
          <cell r="AJ87" t="str">
            <v>Dirección Territorial Amazonía</v>
          </cell>
          <cell r="AK87" t="str">
            <v>12 SEGUROS DEL ESTADO</v>
          </cell>
          <cell r="AL87">
            <v>44587</v>
          </cell>
          <cell r="AM87" t="str">
            <v>14-46-101069130</v>
          </cell>
          <cell r="AN87">
            <v>44587</v>
          </cell>
          <cell r="AO87">
            <v>91297841</v>
          </cell>
          <cell r="AP87" t="str">
            <v>https://www.secop.gov.co/CO1ContractsManagement/Tendering/ProcurementContractEdit/View?docUniqueIdentifier=CO1.PCCNTR.3438035</v>
          </cell>
          <cell r="AQ87">
            <v>44587</v>
          </cell>
          <cell r="AR87">
            <v>44588</v>
          </cell>
          <cell r="AS87">
            <v>301050067</v>
          </cell>
          <cell r="AT87" t="str">
            <v>ADMINISTRACION</v>
          </cell>
        </row>
        <row r="88">
          <cell r="A88">
            <v>87</v>
          </cell>
          <cell r="B88" t="str">
            <v>NORYLY AGUIRRE OTALORA</v>
          </cell>
          <cell r="C88" t="str">
            <v>CD-DTAM NACION-CPS No. 087 - 2022</v>
          </cell>
          <cell r="D88" t="str">
            <v>DUBER ADRIÁN JAJOY BUESAQUILLO</v>
          </cell>
          <cell r="E88">
            <v>1124861403</v>
          </cell>
          <cell r="I88" t="str">
            <v>Prestar apoyo técnico a la gestión operativa y comunitaria de los procesos Estrategias Especiales de Manejo y de planeación del manejo con comunidades indígenas y campesinas del Parque Nacional Natural Serranía de los Churumbelos Auka Wasi en los Municipios con injerencia en el Parque.</v>
          </cell>
          <cell r="K88" t="str">
            <v>10 meses 29 dIas</v>
          </cell>
          <cell r="L88">
            <v>25552333</v>
          </cell>
          <cell r="M88">
            <v>2330000</v>
          </cell>
          <cell r="N88" t="str">
            <v>PNN CHURUMBELOS</v>
          </cell>
          <cell r="O88" t="str">
            <v>NO</v>
          </cell>
          <cell r="P88">
            <v>9422</v>
          </cell>
          <cell r="R88">
            <v>11322</v>
          </cell>
          <cell r="S88">
            <v>44587</v>
          </cell>
          <cell r="T88" t="str">
            <v>C-3202-0900-4-0-3202008-02</v>
          </cell>
          <cell r="Y88">
            <v>44588</v>
          </cell>
          <cell r="Z88">
            <v>44920</v>
          </cell>
          <cell r="AB88" t="str">
            <v>NA</v>
          </cell>
          <cell r="AC88" t="str">
            <v>FLABIO ARMANDO HERRERA CAICEDO</v>
          </cell>
          <cell r="AF88" t="str">
            <v>MOCOA</v>
          </cell>
          <cell r="AG88" t="str">
            <v>https://community.secop.gov.co/Public/Tendering/OpportunityDetail/Index?noticeUID=CO1.NTC.2724407&amp;isFromPublicArea=True&amp;isModal=False</v>
          </cell>
          <cell r="AH88">
            <v>329</v>
          </cell>
          <cell r="AI88" t="str">
            <v>6 NO CONSTITUYÓ GARANTÍAS</v>
          </cell>
          <cell r="AJ88" t="str">
            <v>PNN Serranía de Los Churumbelos</v>
          </cell>
          <cell r="AK88" t="str">
            <v>N/A</v>
          </cell>
          <cell r="AL88" t="str">
            <v>N/A</v>
          </cell>
          <cell r="AM88" t="str">
            <v>N/A</v>
          </cell>
          <cell r="AN88" t="str">
            <v>N/A</v>
          </cell>
          <cell r="AO88">
            <v>19481189</v>
          </cell>
          <cell r="AP88" t="str">
            <v>https://www.secop.gov.co/CO1ContractsManagement/Tendering/ProcurementContractEdit/View?docUniqueIdentifier=CO1.PCCNTR.3445304</v>
          </cell>
          <cell r="AQ88">
            <v>44587</v>
          </cell>
          <cell r="AR88">
            <v>44594</v>
          </cell>
          <cell r="AS88">
            <v>301068032</v>
          </cell>
          <cell r="AT88" t="str">
            <v>ADMINISTRACION</v>
          </cell>
        </row>
        <row r="89">
          <cell r="A89">
            <v>88</v>
          </cell>
          <cell r="B89" t="str">
            <v>NORYLY AGUIRRE OTALORA</v>
          </cell>
          <cell r="C89" t="str">
            <v>CD-DTAM NACION-CPS No. 088 - 2022</v>
          </cell>
          <cell r="D89" t="str">
            <v>YENI LORENA ZAMBRANO LOPEZ</v>
          </cell>
          <cell r="E89">
            <v>1124850690</v>
          </cell>
          <cell r="I89" t="str">
            <v>Prestar servicios Profesionales y de acciones de la implementación de la estrategia de comunicación y educación para la conservación de la biodiversidad y la diversidad cultural en el área de comunicaciones y educación ambiental del Parque Nacional Natural Serranía de los Churumbelos Auka Wasi en los Municipios con injerencia en el Parque.</v>
          </cell>
          <cell r="K89" t="str">
            <v>10 meses 29 dIas</v>
          </cell>
          <cell r="L89">
            <v>36626667</v>
          </cell>
          <cell r="M89">
            <v>4100000</v>
          </cell>
          <cell r="N89" t="str">
            <v>PNN CHURUMBELOS</v>
          </cell>
          <cell r="O89" t="str">
            <v>NO</v>
          </cell>
          <cell r="P89">
            <v>13322</v>
          </cell>
          <cell r="R89">
            <v>11622</v>
          </cell>
          <cell r="S89">
            <v>44587</v>
          </cell>
          <cell r="T89" t="str">
            <v>C-3299-0900-2-0-3299060-02</v>
          </cell>
          <cell r="Y89">
            <v>44587</v>
          </cell>
          <cell r="Z89">
            <v>44919</v>
          </cell>
          <cell r="AB89" t="str">
            <v>NA</v>
          </cell>
          <cell r="AC89" t="str">
            <v>FLABIO ARMANDO HERRERA CAICEDO</v>
          </cell>
          <cell r="AF89" t="str">
            <v>PIAMONTE</v>
          </cell>
          <cell r="AG89" t="str">
            <v>https://community.secop.gov.co/Public/Tendering/ContractNoticePhases/View?PPI=CO1.PPI.17183638&amp;isFromPublicArea=True&amp;isModal=False</v>
          </cell>
          <cell r="AH89">
            <v>329</v>
          </cell>
          <cell r="AI89" t="str">
            <v>6 NO CONSTITUYÓ GARANTÍAS</v>
          </cell>
          <cell r="AJ89" t="str">
            <v>PNN Serranía de Los Churumbelos</v>
          </cell>
          <cell r="AK89" t="str">
            <v>N/A</v>
          </cell>
          <cell r="AL89" t="str">
            <v>N/A</v>
          </cell>
          <cell r="AM89" t="str">
            <v>N/A</v>
          </cell>
          <cell r="AN89" t="str">
            <v>N/A</v>
          </cell>
          <cell r="AO89">
            <v>19481189</v>
          </cell>
          <cell r="AP89" t="str">
            <v>https://www.secop.gov.co/CO1ContractsManagement/Tendering/ProcurementContractEdit/View?docUniqueIdentifier=CO1.PCCNTR.3448601</v>
          </cell>
          <cell r="AQ89">
            <v>44587</v>
          </cell>
          <cell r="AR89">
            <v>44596</v>
          </cell>
          <cell r="AS89">
            <v>301069269</v>
          </cell>
          <cell r="AT89" t="str">
            <v>ADMINISTRACION</v>
          </cell>
        </row>
        <row r="90">
          <cell r="A90">
            <v>89</v>
          </cell>
          <cell r="B90" t="str">
            <v>LAURA CAROLINA CORREA RAMIREZ</v>
          </cell>
          <cell r="C90" t="str">
            <v>CD-DTAM NACION-CPS No. 089 - 2022</v>
          </cell>
          <cell r="D90" t="str">
            <v>CONSTANZA TRIANA SERPA</v>
          </cell>
          <cell r="E90">
            <v>38261441</v>
          </cell>
          <cell r="F90">
            <v>21011</v>
          </cell>
          <cell r="G90">
            <v>80111701</v>
          </cell>
          <cell r="H90" t="str">
            <v>11</v>
          </cell>
          <cell r="I90" t="str">
            <v>Prestar los servicios profesionales en la Dirección Territorial Amazonia para los trámites y actividades de carácter jurídico que determinan la situación jurídica predial y de saneamiento de los predios que se prioricen para tal fin; además, de la participación en la construcción de los lineamientos y orientaciones para el saneamiento predial y la actualización en las bases de datos del sistema de información predial que lidera el Grupo de Predios de la Oficina Asesora Jurídic</v>
          </cell>
          <cell r="J90">
            <v>44587</v>
          </cell>
          <cell r="K90" t="str">
            <v>8 meses 28 dias</v>
          </cell>
          <cell r="L90">
            <v>62510000</v>
          </cell>
          <cell r="M90">
            <v>5700000</v>
          </cell>
          <cell r="N90" t="str">
            <v>DTAM</v>
          </cell>
          <cell r="O90" t="str">
            <v>NO</v>
          </cell>
          <cell r="P90">
            <v>12922</v>
          </cell>
          <cell r="Q90">
            <v>20225050000063</v>
          </cell>
          <cell r="R90">
            <v>12722</v>
          </cell>
          <cell r="S90">
            <v>44588</v>
          </cell>
          <cell r="T90" t="str">
            <v>C-3202-0900-4-0-3202031-02</v>
          </cell>
          <cell r="Y90">
            <v>44587</v>
          </cell>
          <cell r="Z90">
            <v>44857</v>
          </cell>
          <cell r="AB90" t="str">
            <v>380-47-994000124513</v>
          </cell>
          <cell r="AC90" t="str">
            <v>NANCY ESPERANZA RIVERA VEGA</v>
          </cell>
          <cell r="AF90" t="str">
            <v>BOGOTA</v>
          </cell>
          <cell r="AG90" t="str">
            <v>https://community.secop.gov.co/Public/Tendering/ContractNoticePhases/View?PPI=CO1.PPI.17190048&amp;isFromPublicArea=True&amp;isModal=False</v>
          </cell>
          <cell r="AH90">
            <v>268</v>
          </cell>
          <cell r="AI90" t="str">
            <v>6 NO CONSTITUYÓ GARANTÍAS</v>
          </cell>
          <cell r="AJ90" t="str">
            <v>Dirección Territorial Amazonía</v>
          </cell>
          <cell r="AK90" t="str">
            <v>N/A</v>
          </cell>
          <cell r="AL90" t="str">
            <v>N/A</v>
          </cell>
          <cell r="AM90" t="str">
            <v>N/A</v>
          </cell>
          <cell r="AN90" t="str">
            <v>N/A</v>
          </cell>
          <cell r="AO90">
            <v>91297841</v>
          </cell>
          <cell r="AP90" t="str">
            <v>https://www.secop.gov.co/CO1ContractsManagement/Tendering/ProcurementContractEdit/View?docUniqueIdentifier=CO1.PCCNTR.3458921</v>
          </cell>
          <cell r="AQ90">
            <v>44587</v>
          </cell>
          <cell r="AR90" t="str">
            <v>OTRA ARL</v>
          </cell>
          <cell r="AT90" t="str">
            <v>ADMINISTRACION</v>
          </cell>
        </row>
        <row r="91">
          <cell r="A91">
            <v>90</v>
          </cell>
          <cell r="B91" t="str">
            <v>LAURA CAROLINA CORREA RAMIREZ</v>
          </cell>
          <cell r="C91" t="str">
            <v>CD-DTAM NACION-CPS No. 090 - 2022</v>
          </cell>
          <cell r="D91" t="str">
            <v>ADRIAN RODRIGUEZ BURBANO</v>
          </cell>
          <cell r="E91">
            <v>97447966</v>
          </cell>
          <cell r="F91">
            <v>25008</v>
          </cell>
          <cell r="G91">
            <v>80111701</v>
          </cell>
          <cell r="H91" t="str">
            <v>11</v>
          </cell>
          <cell r="I91" t="str">
            <v>Prestar servicios operativos para el acompañamiento de actividades de campo, relacionadas a regular y controlar el uso y el aprovechamiento de los recursos naturales del PNN La Paya</v>
          </cell>
          <cell r="J91">
            <v>44587</v>
          </cell>
          <cell r="K91" t="str">
            <v>10 meses 29 dIas</v>
          </cell>
          <cell r="L91">
            <v>15532000</v>
          </cell>
          <cell r="M91">
            <v>1412000</v>
          </cell>
          <cell r="N91" t="str">
            <v>PNN LA PAYA</v>
          </cell>
          <cell r="O91" t="str">
            <v>NO</v>
          </cell>
          <cell r="P91">
            <v>10922</v>
          </cell>
          <cell r="Q91">
            <v>20225200001503</v>
          </cell>
          <cell r="R91">
            <v>12522</v>
          </cell>
          <cell r="S91">
            <v>44588</v>
          </cell>
          <cell r="T91" t="str">
            <v>C-3202-0900-4-0-3202008-02</v>
          </cell>
          <cell r="W91">
            <v>301050108</v>
          </cell>
          <cell r="Y91">
            <v>44588</v>
          </cell>
          <cell r="Z91">
            <v>44920</v>
          </cell>
          <cell r="AB91" t="str">
            <v>NA</v>
          </cell>
          <cell r="AC91" t="str">
            <v>JEFERSON ROJAS NIETO</v>
          </cell>
          <cell r="AF91" t="str">
            <v>PUERTO LEGUIZAMO</v>
          </cell>
          <cell r="AG91" t="str">
            <v>https://community.secop.gov.co/Public/Tendering/OpportunityDetail/Index?noticeUID=CO1.NTC.2741252&amp;isFromPublicArea=True&amp;isModal=False</v>
          </cell>
          <cell r="AH91">
            <v>329</v>
          </cell>
          <cell r="AI91" t="str">
            <v>6 NO CONSTITUYÓ GARANTÍAS</v>
          </cell>
          <cell r="AJ91" t="str">
            <v>PNN La Paya</v>
          </cell>
          <cell r="AK91" t="str">
            <v>N/A</v>
          </cell>
          <cell r="AL91" t="str">
            <v>N/A</v>
          </cell>
          <cell r="AM91" t="str">
            <v>N/A</v>
          </cell>
          <cell r="AN91" t="str">
            <v>N/A</v>
          </cell>
          <cell r="AO91">
            <v>93404206</v>
          </cell>
          <cell r="AP91" t="str">
            <v>https://www.secop.gov.co/CO1ContractsManagement/Tendering/ProcurementContractEdit/View?docUniqueIdentifier=CO1.PCCNTR.3459884</v>
          </cell>
          <cell r="AQ91">
            <v>44587</v>
          </cell>
          <cell r="AR91">
            <v>44588</v>
          </cell>
          <cell r="AS91">
            <v>301050108</v>
          </cell>
          <cell r="AT91" t="str">
            <v>ADMINISTRACION</v>
          </cell>
        </row>
        <row r="92">
          <cell r="A92">
            <v>91</v>
          </cell>
          <cell r="B92" t="str">
            <v>CAROL ANGELICA CERCADO</v>
          </cell>
          <cell r="C92" t="str">
            <v>CD-DTAM NACION-CPS No. 091 - 2022</v>
          </cell>
          <cell r="D92" t="str">
            <v>ELMER JULIAN COELLO GUERRERO</v>
          </cell>
          <cell r="E92">
            <v>18051347</v>
          </cell>
          <cell r="F92">
            <v>23008</v>
          </cell>
          <cell r="G92">
            <v>80111701</v>
          </cell>
          <cell r="H92" t="str">
            <v>11</v>
          </cell>
          <cell r="I92" t="str">
            <v>Prestar servicios técnicos y de apoyo a la gestión para operación de los equipos y máquinas asignados al Parque Nacional Natural Amacayacu, mantenimiento de la infraestructura del Centro de Visitantes y del sector de Matamatá</v>
          </cell>
          <cell r="J92">
            <v>44588</v>
          </cell>
          <cell r="K92" t="str">
            <v>11 meses</v>
          </cell>
          <cell r="L92">
            <v>25552000</v>
          </cell>
          <cell r="M92">
            <v>2330000</v>
          </cell>
          <cell r="N92" t="str">
            <v>PNN AMACAYACU</v>
          </cell>
          <cell r="O92" t="str">
            <v>NO</v>
          </cell>
          <cell r="P92">
            <v>5322</v>
          </cell>
          <cell r="R92">
            <v>12822</v>
          </cell>
          <cell r="S92">
            <v>44588</v>
          </cell>
          <cell r="T92" t="str">
            <v>C-3202-0900-4-0-3202032-02</v>
          </cell>
          <cell r="U92" t="str">
            <v>Otros servicios profesionales y técnicos n.c.p.</v>
          </cell>
          <cell r="V92" t="str">
            <v>O161</v>
          </cell>
          <cell r="W92">
            <v>301051860</v>
          </cell>
          <cell r="Y92">
            <v>44588</v>
          </cell>
          <cell r="Z92">
            <v>44921</v>
          </cell>
          <cell r="AB92" t="str">
            <v>NA</v>
          </cell>
          <cell r="AC92" t="str">
            <v>ELIANA MARTINEZ RUEDA</v>
          </cell>
          <cell r="AF92" t="str">
            <v>PNN AMACAYACU</v>
          </cell>
          <cell r="AG92" t="str">
            <v>https://community.secop.gov.co/Public/Tendering/OpportunityDetail/Index?noticeUID=CO1.NTC.2742238&amp;isFromPublicArea=True&amp;isModal=False</v>
          </cell>
          <cell r="AH92">
            <v>330</v>
          </cell>
          <cell r="AI92" t="str">
            <v>6 NO CONSTITUYÓ GARANTÍAS</v>
          </cell>
          <cell r="AJ92" t="str">
            <v>PNN Amacayacu</v>
          </cell>
          <cell r="AK92" t="str">
            <v>N/A</v>
          </cell>
          <cell r="AL92" t="str">
            <v>N/A</v>
          </cell>
          <cell r="AM92" t="str">
            <v>N/A</v>
          </cell>
          <cell r="AN92" t="str">
            <v>N/A</v>
          </cell>
          <cell r="AO92">
            <v>51935320</v>
          </cell>
          <cell r="AP92" t="str">
            <v>https://www.secop.gov.co/CO1ContractsManagement/Tendering/ProcurementContractEdit/View?docUniqueIdentifier=CO1.PCCNTR.3464506</v>
          </cell>
          <cell r="AQ92">
            <v>44588</v>
          </cell>
          <cell r="AR92">
            <v>44588</v>
          </cell>
          <cell r="AS92">
            <v>301051860</v>
          </cell>
          <cell r="AT92" t="str">
            <v>ADMINISTRACION</v>
          </cell>
        </row>
        <row r="93">
          <cell r="A93">
            <v>92</v>
          </cell>
          <cell r="B93" t="str">
            <v>LAURA CAROLINA CORREA RAMIREZ</v>
          </cell>
          <cell r="C93" t="str">
            <v>CD-DTAM NACION-CPS No. 092 - 2022</v>
          </cell>
          <cell r="D93" t="str">
            <v>MARIA PAULA PATIÑO MONTOYA</v>
          </cell>
          <cell r="E93">
            <v>1026273969</v>
          </cell>
          <cell r="F93">
            <v>21028</v>
          </cell>
          <cell r="G93">
            <v>80111701</v>
          </cell>
          <cell r="H93" t="str">
            <v>11</v>
          </cell>
          <cell r="I93" t="str">
            <v>Prestar servicios profesionales en la Dirección Territorial Amazonia de Parques Nacionales Naturales de Colombia, en psicología; con el fin de implementar el plan de acompañamiento psicosocial a través de distintas estrategias individuales y colectivas que aporten al bienestar psicológico de las personas y equipos de trabajo</v>
          </cell>
          <cell r="J93">
            <v>44587</v>
          </cell>
          <cell r="K93" t="str">
            <v>10 meses 29 dIas</v>
          </cell>
          <cell r="L93">
            <v>41278533</v>
          </cell>
          <cell r="M93">
            <v>3764000</v>
          </cell>
          <cell r="N93" t="str">
            <v>DTAM</v>
          </cell>
          <cell r="O93" t="str">
            <v>NO</v>
          </cell>
          <cell r="P93">
            <v>11722</v>
          </cell>
          <cell r="Q93">
            <v>20225000000563</v>
          </cell>
          <cell r="R93">
            <v>12622</v>
          </cell>
          <cell r="S93">
            <v>44588</v>
          </cell>
          <cell r="T93" t="str">
            <v>C-3299-0900-2-0-3299054-02</v>
          </cell>
          <cell r="W93">
            <v>301050132</v>
          </cell>
          <cell r="Y93">
            <v>44588</v>
          </cell>
          <cell r="AB93" t="str">
            <v>NA</v>
          </cell>
          <cell r="AC93" t="str">
            <v>JONNATHAN ALEJANDRO SUEREZ PEÑA</v>
          </cell>
          <cell r="AF93" t="str">
            <v>BOGOTA</v>
          </cell>
          <cell r="AG93" t="str">
            <v>https://www.secop.gov.co/CO1ContractsManagement/Tendering/ProcurementContractEdit/View?docUniqueIdentifier=CO1.PCCNTR.3464506&amp;awardUniqueIdentifier=&amp;buyerDossierUniqueIdentifier=CO1.BDOS.2744513&amp;id=1716099&amp;prevCtxUrl=https%3a%2f%2fwww.secop.gov.co%2fCO1BusinessLine%2fTendering%2fBuyerDossierWorkspace%2fIndex%3fsortingState%3dLastModifiedDESC%26showAdvancedSearch%3dFalse%26showAdvancedSearchFields%3dFalse%26selectedDossier%3dCO1.BDOS.2744513%26selectedRequest%3dCO1.REQ.2821229%26&amp;prevCtxLbl=Procesos+de+la+Entidad+Estatal</v>
          </cell>
          <cell r="AH93">
            <v>329</v>
          </cell>
          <cell r="AI93" t="str">
            <v>6 NO CONSTITUYÓ GARANTÍAS</v>
          </cell>
          <cell r="AJ93" t="str">
            <v>Dirección Territorial Amazonía</v>
          </cell>
          <cell r="AK93" t="str">
            <v>N/A</v>
          </cell>
          <cell r="AL93" t="str">
            <v>N/A</v>
          </cell>
          <cell r="AM93" t="str">
            <v>N/A</v>
          </cell>
          <cell r="AN93" t="str">
            <v>N/A</v>
          </cell>
          <cell r="AO93">
            <v>24344682</v>
          </cell>
          <cell r="AP93" t="str">
            <v>https://www.secop.gov.co/CO1ContractsManagement/Tendering/ProcurementContractEdit/View?docUniqueIdentifier=CO1.PCCNTR.3461730</v>
          </cell>
          <cell r="AQ93">
            <v>44587</v>
          </cell>
          <cell r="AR93">
            <v>44588</v>
          </cell>
          <cell r="AS93">
            <v>301050132</v>
          </cell>
          <cell r="AT93" t="str">
            <v>FORTALECIMIENTO</v>
          </cell>
        </row>
        <row r="94">
          <cell r="A94">
            <v>93</v>
          </cell>
          <cell r="B94" t="str">
            <v>LAURA CAROLINA CORREA RAMIREZ</v>
          </cell>
          <cell r="C94" t="str">
            <v>CD-DTAM NACION-CPS No. 093 - 2022</v>
          </cell>
          <cell r="D94" t="str">
            <v>CARLOS FERNANDO LEÓN QUINTERO</v>
          </cell>
          <cell r="E94">
            <v>1022351858</v>
          </cell>
          <cell r="F94">
            <v>21019</v>
          </cell>
          <cell r="G94">
            <v>80111701</v>
          </cell>
          <cell r="H94" t="str">
            <v>11</v>
          </cell>
          <cell r="I94" t="str">
            <v>Prestar servicios profesionales a la Dirección Territorial Amazonia, para orientar las acciones de la gestión fronteriza y el ordenamiento territorial, mediante la dinamización y fortalecimiento de escenarios que articulen la misión estratégica a escala regional, en los mecanismos de coordinación interinstitucional de acuerdo a los lineamientos de Parques Nacionales Naturales de Colombia</v>
          </cell>
          <cell r="J94">
            <v>44587</v>
          </cell>
          <cell r="K94" t="str">
            <v>10 meses 29 dIas</v>
          </cell>
          <cell r="L94">
            <v>62510000</v>
          </cell>
          <cell r="M94">
            <v>5700000</v>
          </cell>
          <cell r="N94" t="str">
            <v>DTAM</v>
          </cell>
          <cell r="O94" t="str">
            <v>NO</v>
          </cell>
          <cell r="P94">
            <v>13622</v>
          </cell>
          <cell r="Q94">
            <v>20225050000093</v>
          </cell>
          <cell r="R94">
            <v>12922</v>
          </cell>
          <cell r="S94">
            <v>44588</v>
          </cell>
          <cell r="T94" t="str">
            <v>C-3202-0900-4-0-3202008-02</v>
          </cell>
          <cell r="W94">
            <v>301053684</v>
          </cell>
          <cell r="Y94">
            <v>44588</v>
          </cell>
          <cell r="Z94">
            <v>44920</v>
          </cell>
          <cell r="AB94" t="str">
            <v>14-44-101147135</v>
          </cell>
          <cell r="AC94" t="str">
            <v>NANCY ESPERANZA RIVERA VEGA</v>
          </cell>
          <cell r="AF94" t="str">
            <v>BOGOTA</v>
          </cell>
          <cell r="AG94" t="str">
            <v>https://community.secop.gov.co/Public/Tendering/OpportunityDetail/Index?noticeUID=CO1.NTC.2743091&amp;isFromPublicArea=True&amp;isModal=False</v>
          </cell>
          <cell r="AH94">
            <v>329</v>
          </cell>
          <cell r="AI94" t="str">
            <v>6 NO CONSTITUYÓ GARANTÍAS</v>
          </cell>
          <cell r="AJ94" t="str">
            <v>Dirección Territorial Amazonía</v>
          </cell>
          <cell r="AK94" t="str">
            <v>N/A</v>
          </cell>
          <cell r="AL94" t="str">
            <v>N/A</v>
          </cell>
          <cell r="AM94" t="str">
            <v>N/A</v>
          </cell>
          <cell r="AN94" t="str">
            <v>N/A</v>
          </cell>
          <cell r="AO94">
            <v>91297841</v>
          </cell>
          <cell r="AP94" t="str">
            <v>https://www.secop.gov.co/CO1ContractsManagement/Tendering/ProcurementContractEdit/View?docUniqueIdentifier=CO1.PCCNTR.3471179</v>
          </cell>
          <cell r="AQ94">
            <v>44588</v>
          </cell>
          <cell r="AR94">
            <v>44589</v>
          </cell>
          <cell r="AS94">
            <v>301053684</v>
          </cell>
          <cell r="AT94" t="str">
            <v>ADMINISTRACION</v>
          </cell>
        </row>
        <row r="95">
          <cell r="A95">
            <v>94</v>
          </cell>
          <cell r="B95" t="str">
            <v>NORYLY AGUIRRE OTALORA</v>
          </cell>
          <cell r="C95" t="str">
            <v>CD-DTAM NACION-CPS No. 094 - 2022</v>
          </cell>
          <cell r="D95" t="str">
            <v>LINO YUCUNA MATAPI</v>
          </cell>
          <cell r="E95">
            <v>6566349</v>
          </cell>
          <cell r="I95" t="str">
            <v>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ell>
          <cell r="K95" t="str">
            <v>10 meses 29 dIas</v>
          </cell>
          <cell r="L95">
            <v>20900000</v>
          </cell>
          <cell r="M95">
            <v>1900000</v>
          </cell>
          <cell r="N95" t="str">
            <v>PNN CAHUINARI</v>
          </cell>
          <cell r="O95" t="str">
            <v>NO</v>
          </cell>
          <cell r="P95">
            <v>16622</v>
          </cell>
          <cell r="R95">
            <v>16722</v>
          </cell>
          <cell r="S95">
            <v>44589</v>
          </cell>
          <cell r="T95" t="str">
            <v>C-3202-0900-4-0-3202008-02</v>
          </cell>
          <cell r="Y95">
            <v>44589</v>
          </cell>
          <cell r="Z95">
            <v>44919</v>
          </cell>
          <cell r="AB95" t="str">
            <v>NA</v>
          </cell>
          <cell r="AC95" t="str">
            <v>IVAN DARIO QUICENO GALLEGO</v>
          </cell>
          <cell r="AF95" t="str">
            <v>LA PEDRERA, AMAZONAS</v>
          </cell>
          <cell r="AG95" t="str">
            <v>https://community.secop.gov.co/Public/Tendering/OpportunityDetail/Index?noticeUID=CO1.NTC.2751153&amp;isFromPublicArea=True&amp;isModal=False</v>
          </cell>
          <cell r="AH95">
            <v>329</v>
          </cell>
          <cell r="AI95" t="str">
            <v>6 NO CONSTITUYÓ GARANTÍAS</v>
          </cell>
          <cell r="AJ95" t="str">
            <v>PNN Cahuinari</v>
          </cell>
          <cell r="AK95" t="str">
            <v>N/A</v>
          </cell>
          <cell r="AL95" t="str">
            <v>N/A</v>
          </cell>
          <cell r="AM95" t="str">
            <v>N/A</v>
          </cell>
          <cell r="AN95" t="str">
            <v>N/A</v>
          </cell>
          <cell r="AO95">
            <v>10289238</v>
          </cell>
          <cell r="AP95" t="str">
            <v>https://www.secop.gov.co/CO1ContractsManagement/Tendering/ProcurementContractEdit/View?docUniqueIdentifier=CO1.PCCNTR.3521378</v>
          </cell>
          <cell r="AQ95">
            <v>44589</v>
          </cell>
          <cell r="AR95">
            <v>44600</v>
          </cell>
          <cell r="AS95">
            <v>301078166</v>
          </cell>
          <cell r="AT95" t="str">
            <v>ADMINISTRACION</v>
          </cell>
        </row>
        <row r="96">
          <cell r="A96">
            <v>95</v>
          </cell>
          <cell r="B96" t="str">
            <v>CAROL ANGELICA CERCADO</v>
          </cell>
          <cell r="C96" t="str">
            <v>CD-DTAM NACION-CPS No. 095 - 2022</v>
          </cell>
          <cell r="D96" t="str">
            <v>LEOPOLDO LEON ALBAN</v>
          </cell>
          <cell r="E96">
            <v>18051619</v>
          </cell>
          <cell r="F96">
            <v>23007</v>
          </cell>
          <cell r="G96">
            <v>80111701</v>
          </cell>
          <cell r="H96" t="str">
            <v>11</v>
          </cell>
          <cell r="I96" t="str">
            <v>Prestar servicios asistenciales y de apoyo a la gestión en actividades de regulación, uso y aprovechamiento de los recursos naturales en la zona sur del Parque Nacional Natural Amacayacu.</v>
          </cell>
          <cell r="J96">
            <v>44588</v>
          </cell>
          <cell r="K96" t="str">
            <v>11 meses</v>
          </cell>
          <cell r="L96">
            <v>15532000</v>
          </cell>
          <cell r="M96">
            <v>1412000</v>
          </cell>
          <cell r="N96" t="str">
            <v>PNN AMACAYACU</v>
          </cell>
          <cell r="O96" t="str">
            <v>NO</v>
          </cell>
          <cell r="P96">
            <v>5822</v>
          </cell>
          <cell r="Q96">
            <v>20225120000333</v>
          </cell>
          <cell r="R96">
            <v>15722</v>
          </cell>
          <cell r="S96">
            <v>44589</v>
          </cell>
          <cell r="T96" t="str">
            <v>C-3202-0900-4-0-3202032-02</v>
          </cell>
          <cell r="U96" t="str">
            <v>Otros servicios profesionales y técnicos n.c.p.</v>
          </cell>
          <cell r="V96">
            <v>7490</v>
          </cell>
          <cell r="W96">
            <v>301057519</v>
          </cell>
          <cell r="Y96">
            <v>44589</v>
          </cell>
          <cell r="Z96">
            <v>44922</v>
          </cell>
          <cell r="AB96" t="str">
            <v>NA</v>
          </cell>
          <cell r="AC96" t="str">
            <v>ELIANA MARTINEZ RUEDA</v>
          </cell>
          <cell r="AF96" t="str">
            <v>PNN AMACAYACU</v>
          </cell>
          <cell r="AG96" t="str">
            <v>https://community.secop.gov.co/Public/Tendering/ContractNoticePhases/View?PPI=CO1.PPI.17342627&amp;isFromPublicArea=True&amp;isModal=False</v>
          </cell>
          <cell r="AH96">
            <v>330</v>
          </cell>
          <cell r="AI96" t="str">
            <v>6 NO CONSTITUYÓ GARANTÍAS</v>
          </cell>
          <cell r="AJ96" t="str">
            <v>PNN Amacayacu</v>
          </cell>
          <cell r="AK96" t="str">
            <v>N/A</v>
          </cell>
          <cell r="AL96" t="str">
            <v>N/A</v>
          </cell>
          <cell r="AM96" t="str">
            <v>N/A</v>
          </cell>
          <cell r="AN96" t="str">
            <v>N/A</v>
          </cell>
          <cell r="AO96">
            <v>51935320</v>
          </cell>
          <cell r="AP96" t="str">
            <v>https://www.secop.gov.co/CO1ContractsManagement/Tendering/ProcurementContractEdit/View?docUniqueIdentifier=CO1.PCCNTR.3509110</v>
          </cell>
          <cell r="AQ96">
            <v>44589</v>
          </cell>
          <cell r="AR96">
            <v>44589</v>
          </cell>
          <cell r="AS96">
            <v>301057519</v>
          </cell>
          <cell r="AT96" t="str">
            <v>ADMINISTRACION</v>
          </cell>
        </row>
        <row r="97">
          <cell r="A97">
            <v>96</v>
          </cell>
          <cell r="B97" t="str">
            <v>CAROL ANGELICA CERCADO</v>
          </cell>
          <cell r="C97" t="str">
            <v>CD-DTAM NACION-CPS No. 096 - 2022</v>
          </cell>
          <cell r="D97" t="str">
            <v>XERLINTON ZAPATA ARCENALES</v>
          </cell>
          <cell r="E97">
            <v>15879119</v>
          </cell>
          <cell r="F97">
            <v>23002</v>
          </cell>
          <cell r="G97">
            <v>80111701</v>
          </cell>
          <cell r="H97" t="str">
            <v>11</v>
          </cell>
          <cell r="I97" t="str">
            <v>Prestar servicios técnicos y de apoyo al Ecoturismo de base comunitaria, como estrategia de conservación y desarrollo de la valoración social del territorio en el Parque Nacional Natural Amacayacu.</v>
          </cell>
          <cell r="J97">
            <v>44587</v>
          </cell>
          <cell r="K97" t="str">
            <v>11 meses</v>
          </cell>
          <cell r="L97">
            <v>15532000</v>
          </cell>
          <cell r="M97">
            <v>1412000</v>
          </cell>
          <cell r="N97" t="str">
            <v>PNN AMACAYACU</v>
          </cell>
          <cell r="O97" t="str">
            <v>NO</v>
          </cell>
          <cell r="P97">
            <v>8522</v>
          </cell>
          <cell r="Q97">
            <v>20225000001463</v>
          </cell>
          <cell r="R97">
            <v>14222</v>
          </cell>
          <cell r="S97">
            <v>44588</v>
          </cell>
          <cell r="T97" t="str">
            <v>C-3202-0900-4-0-3202010-02</v>
          </cell>
          <cell r="U97" t="str">
            <v>Otros servicios profesionales y técnicos n.c.p.</v>
          </cell>
          <cell r="V97" t="str">
            <v>O161</v>
          </cell>
          <cell r="W97">
            <v>301051866</v>
          </cell>
          <cell r="Y97">
            <v>44589</v>
          </cell>
          <cell r="Z97">
            <v>44922</v>
          </cell>
          <cell r="AB97" t="str">
            <v>NA</v>
          </cell>
          <cell r="AC97" t="str">
            <v>ELIANA MARTINEZ RUEDA</v>
          </cell>
          <cell r="AF97" t="str">
            <v>PNN AMACAYACU</v>
          </cell>
          <cell r="AG97" t="str">
            <v>https://www.secop.gov.co/CO1ContractsManagement/Tendering/ProcurementContractEdit/View?docUniqueIdentifier=CO1.PCCNTR.3509110&amp;awardUniqueIdentifier=&amp;buyerDossierUniqueIdentifier=CO1.BDOS.2777906&amp;id=1758245&amp;prevCtxUrl=https%3a%2f%2fwww.secop.gov.co%2fCO1BusinessLine%2fTendering%2fBuyerDossierWorkspace%2fIndex%3fsortingState%3dLastModifiedDESC%26showAdvancedSearch%3dFalse%26showAdvancedSearchFields%3dFalse%26selectedDossier%3dCO1.BDOS.2777906%26selectedRequest%3dCO1.REQ.2854097%26&amp;prevCtxLbl=Procesos+de+la+Entidad+Estatal</v>
          </cell>
          <cell r="AH97">
            <v>330</v>
          </cell>
          <cell r="AI97" t="str">
            <v>6 NO CONSTITUYÓ GARANTÍAS</v>
          </cell>
          <cell r="AJ97" t="str">
            <v>PNN Amacayacu</v>
          </cell>
          <cell r="AK97" t="str">
            <v>N/A</v>
          </cell>
          <cell r="AL97" t="str">
            <v>N/A</v>
          </cell>
          <cell r="AM97" t="str">
            <v>N/A</v>
          </cell>
          <cell r="AN97" t="str">
            <v>N/A</v>
          </cell>
          <cell r="AO97">
            <v>51935320</v>
          </cell>
          <cell r="AP97" t="str">
            <v>https://www.secop.gov.co/CO1ContractsManagement/Tendering/ProcurementContractEdit/View?docUniqueIdentifier=CO1.PCCNTR.3466129</v>
          </cell>
          <cell r="AQ97">
            <v>44588</v>
          </cell>
          <cell r="AR97">
            <v>44588</v>
          </cell>
          <cell r="AS97">
            <v>301051866</v>
          </cell>
          <cell r="AT97" t="str">
            <v>ADMINISTRACION</v>
          </cell>
        </row>
        <row r="98">
          <cell r="A98">
            <v>97</v>
          </cell>
          <cell r="B98" t="str">
            <v>NORYLY AGUIRRE OTALORA</v>
          </cell>
          <cell r="C98" t="str">
            <v>CD-DTAM NACION-CPS No. 097 - 2022</v>
          </cell>
          <cell r="D98" t="str">
            <v>JULIANA ASTUDILLO ZUMAETA</v>
          </cell>
          <cell r="E98">
            <v>41058554</v>
          </cell>
          <cell r="I98" t="str">
            <v>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ell>
          <cell r="K98" t="str">
            <v>11 meses</v>
          </cell>
          <cell r="L98">
            <v>30932000</v>
          </cell>
          <cell r="M98">
            <v>2812000</v>
          </cell>
          <cell r="N98" t="str">
            <v>PNN CAHUINARI</v>
          </cell>
          <cell r="O98" t="str">
            <v>NO</v>
          </cell>
          <cell r="P98">
            <v>10122</v>
          </cell>
          <cell r="R98">
            <v>15922</v>
          </cell>
          <cell r="S98">
            <v>44589</v>
          </cell>
          <cell r="T98" t="str">
            <v>C-3299-0900-2-0-3299060-02</v>
          </cell>
          <cell r="Y98">
            <v>44588</v>
          </cell>
          <cell r="Z98">
            <v>44921</v>
          </cell>
          <cell r="AB98" t="str">
            <v>NA</v>
          </cell>
          <cell r="AC98" t="str">
            <v>IVAN DARIO QUICENO GALLEGO</v>
          </cell>
          <cell r="AF98" t="str">
            <v>LETICIA</v>
          </cell>
          <cell r="AG98" t="str">
            <v>https://www.secop.gov.co/CO1ContractsManagement/Tendering/ProcurementContractEdit/View?docUniqueIdentifier=CO1.PCCNTR.3466129&amp;awardUniqueIdentifier=&amp;buyerDossierUniqueIdentifier=CO1.BDOS.2745073&amp;id=1717748&amp;prevCtxUrl=https%3a%2f%2fwww.secop.gov.co%2fCO1BusinessLine%2fTendering%2fBuyerDossierWorkspace%2fIndex%3fsortingState%3dLastModifiedDESC%26showAdvancedSearch%3dFalse%26showAdvancedSearchFields%3dFalse%26selectedDossier%3dCO1.BDOS.2745073%26selectedRequest%3dCO1.REQ.2822540%26&amp;prevCtxLbl=Procesos+de+la+Entidad+Estatal</v>
          </cell>
          <cell r="AH98">
            <v>330</v>
          </cell>
          <cell r="AI98" t="str">
            <v>6 NO CONSTITUYÓ GARANTÍAS</v>
          </cell>
          <cell r="AJ98" t="str">
            <v>PNN Cahuinari</v>
          </cell>
          <cell r="AK98" t="str">
            <v>N/A</v>
          </cell>
          <cell r="AL98" t="str">
            <v>N/A</v>
          </cell>
          <cell r="AM98" t="str">
            <v>N/A</v>
          </cell>
          <cell r="AN98" t="str">
            <v>N/A</v>
          </cell>
          <cell r="AO98">
            <v>10289238</v>
          </cell>
          <cell r="AP98" t="str">
            <v>https://www.secop.gov.co/CO1ContractsManagement/Tendering/ProcurementContractEdit/View?docUniqueIdentifier=CO1.PCCNTR.3500450</v>
          </cell>
          <cell r="AQ98">
            <v>44589</v>
          </cell>
          <cell r="AR98">
            <v>44600</v>
          </cell>
          <cell r="AS98">
            <v>301078194</v>
          </cell>
          <cell r="AT98" t="str">
            <v>FORTALECIMIENTO</v>
          </cell>
        </row>
        <row r="99">
          <cell r="A99">
            <v>98</v>
          </cell>
          <cell r="B99" t="str">
            <v>CAROL ANGELICA CERCADO</v>
          </cell>
          <cell r="C99" t="str">
            <v>CD-DTAM NACION-CPS No. 098 - 2022</v>
          </cell>
          <cell r="D99" t="str">
            <v>ORLANDO HERNANDEZ CANAYO</v>
          </cell>
          <cell r="E99">
            <v>6567775</v>
          </cell>
          <cell r="F99">
            <v>23007</v>
          </cell>
          <cell r="G99">
            <v>80111701</v>
          </cell>
          <cell r="H99" t="str">
            <v>11</v>
          </cell>
          <cell r="I99" t="str">
            <v>Prestar los servicios asistenciales y de apoyo a la gestión en actividades de regulación, uso y aprovechamiento de los recursos naturales en el sector norte del Parque Nacional Natural Amacayacu..</v>
          </cell>
          <cell r="J99">
            <v>44588</v>
          </cell>
          <cell r="K99" t="str">
            <v>11 meses</v>
          </cell>
          <cell r="L99">
            <v>15532000</v>
          </cell>
          <cell r="M99">
            <v>1412000</v>
          </cell>
          <cell r="N99" t="str">
            <v>PNN AMACAYACU</v>
          </cell>
          <cell r="O99" t="str">
            <v>NO</v>
          </cell>
          <cell r="P99">
            <v>5522</v>
          </cell>
          <cell r="Q99">
            <v>20225000001473</v>
          </cell>
          <cell r="R99">
            <v>15322</v>
          </cell>
          <cell r="S99">
            <v>44588</v>
          </cell>
          <cell r="T99" t="str">
            <v>C-3202-0900-4-0-3202008-02</v>
          </cell>
          <cell r="U99" t="str">
            <v>Otros servicios profesionales y técnicos n.c.p.</v>
          </cell>
          <cell r="V99">
            <v>5021</v>
          </cell>
          <cell r="W99">
            <v>301054216</v>
          </cell>
          <cell r="Y99">
            <v>44589</v>
          </cell>
          <cell r="Z99">
            <v>44922</v>
          </cell>
          <cell r="AB99" t="str">
            <v>NA</v>
          </cell>
          <cell r="AC99" t="str">
            <v>ELIANA MARTINEZ RUEDA</v>
          </cell>
          <cell r="AF99" t="str">
            <v>PNN AMACAYACU</v>
          </cell>
          <cell r="AG99" t="str">
            <v>https://community.secop.gov.co/Public/Tendering/ContractNoticePhases/View?PPI=CO1.PPI.17260895&amp;isFromPublicArea=True&amp;isModal=False</v>
          </cell>
          <cell r="AH99">
            <v>330</v>
          </cell>
          <cell r="AI99" t="str">
            <v>6 NO CONSTITUYÓ GARANTÍAS</v>
          </cell>
          <cell r="AJ99" t="str">
            <v>PNN Amacayacu</v>
          </cell>
          <cell r="AK99" t="str">
            <v>N/A</v>
          </cell>
          <cell r="AL99" t="str">
            <v>N/A</v>
          </cell>
          <cell r="AM99" t="str">
            <v>N/A</v>
          </cell>
          <cell r="AN99" t="str">
            <v>N/A</v>
          </cell>
          <cell r="AO99">
            <v>51935320</v>
          </cell>
          <cell r="AP99" t="str">
            <v>https://www.secop.gov.co/CO1ContractsManagement/Tendering/ProcurementContractEdit/View?docUniqueIdentifier=CO1.PCCNTR.3480923</v>
          </cell>
          <cell r="AQ99">
            <v>44588</v>
          </cell>
          <cell r="AR99">
            <v>44589</v>
          </cell>
          <cell r="AS99">
            <v>301054216</v>
          </cell>
          <cell r="AT99" t="str">
            <v>ADMINISTRACION</v>
          </cell>
        </row>
        <row r="100">
          <cell r="A100">
            <v>99</v>
          </cell>
          <cell r="B100" t="str">
            <v>LAURA CAROLINA CORREA RAMIREZ</v>
          </cell>
          <cell r="C100" t="str">
            <v>CD-DTAM NACION-CPS No. 099 - 2022</v>
          </cell>
          <cell r="D100" t="str">
            <v>ORLANDO MIRAÑA BORA</v>
          </cell>
          <cell r="E100">
            <v>1131524123</v>
          </cell>
          <cell r="F100">
            <v>24002</v>
          </cell>
          <cell r="G100">
            <v>80111701</v>
          </cell>
          <cell r="H100" t="str">
            <v>11</v>
          </cell>
          <cell r="I100" t="str">
            <v>Prestación de servicios asistenciales y de apoyo a la gestión para adelantar actividades de monitoreo, vigilancia y control en los diferentes sectores del área protegida.</v>
          </cell>
          <cell r="K100" t="str">
            <v>11 meses</v>
          </cell>
          <cell r="L100">
            <v>15532000</v>
          </cell>
          <cell r="M100">
            <v>1412000</v>
          </cell>
          <cell r="N100" t="str">
            <v>PNN CAHUINARI</v>
          </cell>
          <cell r="O100" t="str">
            <v>NO</v>
          </cell>
          <cell r="P100">
            <v>15522</v>
          </cell>
          <cell r="Q100">
            <v>20225140002193</v>
          </cell>
          <cell r="R100">
            <v>13222</v>
          </cell>
          <cell r="S100">
            <v>44588</v>
          </cell>
          <cell r="T100" t="str">
            <v>C-3202-0900-4-0-3202032-02</v>
          </cell>
          <cell r="W100">
            <v>301051352</v>
          </cell>
          <cell r="Y100">
            <v>44588</v>
          </cell>
          <cell r="Z100">
            <v>44921</v>
          </cell>
          <cell r="AB100" t="str">
            <v>NA</v>
          </cell>
          <cell r="AC100" t="str">
            <v>IVAN DARIO QUICENO GALLEGO</v>
          </cell>
          <cell r="AF100" t="str">
            <v>TARAPACA, AMAZONAS</v>
          </cell>
          <cell r="AG100" t="str">
            <v>https://www.secop.gov.co/CO1ContractsManagement/Tendering/ProcurementContractEdit/View?docUniqueIdentifier=CO1.PCCNTR.3480923&amp;awardUniqueIdentifier=&amp;buyerDossierUniqueIdentifier=CO1.BDOS.2754966&amp;id=1731789&amp;prevCtxUrl=https%3a%2f%2fwww.secop.gov.co%2fCO1BusinessLine%2fTendering%2fBuyerDossierWorkspace%2fIndex%3fsortingState%3dLastModifiedDESC%26showAdvancedSearch%3dFalse%26showAdvancedSearchFields%3dFalse%26selectedDossier%3dCO1.BDOS.2754966%26selectedRequest%3dCO1.REQ.2831855%26&amp;prevCtxLbl=Procesos+de+la+Entidad+Estatal</v>
          </cell>
          <cell r="AH100">
            <v>330</v>
          </cell>
          <cell r="AI100" t="str">
            <v>6 NO CONSTITUYÓ GARANTÍAS</v>
          </cell>
          <cell r="AJ100" t="str">
            <v>PNN Cahuinari</v>
          </cell>
          <cell r="AK100" t="str">
            <v>N/A</v>
          </cell>
          <cell r="AL100" t="str">
            <v>N/A</v>
          </cell>
          <cell r="AM100" t="str">
            <v>N/A</v>
          </cell>
          <cell r="AN100" t="str">
            <v>N/A</v>
          </cell>
          <cell r="AO100">
            <v>10289238</v>
          </cell>
          <cell r="AP100" t="str">
            <v>https://www.secop.gov.co/CO1ContractsManagement/Tendering/ProcurementContractEdit/View?docUniqueIdentifier=CO1.PCCNTR.3471598</v>
          </cell>
          <cell r="AQ100">
            <v>44588</v>
          </cell>
          <cell r="AR100">
            <v>44588</v>
          </cell>
          <cell r="AS100">
            <v>301051352</v>
          </cell>
          <cell r="AT100" t="str">
            <v>ADMINISTRACION</v>
          </cell>
        </row>
        <row r="101">
          <cell r="A101">
            <v>100</v>
          </cell>
          <cell r="B101" t="str">
            <v>NORYLY AGUIRRE OTALORA</v>
          </cell>
          <cell r="C101" t="str">
            <v>CD-DTAM NACION-CPS No. 100 - 2022</v>
          </cell>
          <cell r="D101" t="str">
            <v>SANTIAGO ANDRES SANMIGUEL MURILLO</v>
          </cell>
          <cell r="E101">
            <v>1000252838</v>
          </cell>
          <cell r="I101" t="str">
            <v>Prestar servicios operativos en la Dirección Territorial Amazonia de Parques Nacionales Naturales de Colombia, para garantizar las actividades en el área de almacén e inventarios, seguimiento a la facturación de servicios públicos, gestión para el pago de impuestos apoyado en los aplicativos dispuestos por la nación y la entidad.</v>
          </cell>
          <cell r="K101" t="str">
            <v>11 meses</v>
          </cell>
          <cell r="L101">
            <v>6354000</v>
          </cell>
          <cell r="M101">
            <v>1412000</v>
          </cell>
          <cell r="N101" t="str">
            <v>DTAM</v>
          </cell>
          <cell r="O101" t="str">
            <v>NO</v>
          </cell>
          <cell r="P101">
            <v>13922</v>
          </cell>
          <cell r="R101">
            <v>16622</v>
          </cell>
          <cell r="S101">
            <v>44589</v>
          </cell>
          <cell r="T101" t="str">
            <v>C-3299-0900-2-0-3299060-02</v>
          </cell>
          <cell r="Y101">
            <v>44588</v>
          </cell>
          <cell r="Z101">
            <v>44921</v>
          </cell>
          <cell r="AB101" t="str">
            <v>NA</v>
          </cell>
          <cell r="AC101" t="str">
            <v>CLAUDIA OFELIA MANRIQUE ROA</v>
          </cell>
          <cell r="AF101" t="str">
            <v>BOGOTA</v>
          </cell>
          <cell r="AG101" t="str">
            <v>https://community.secop.gov.co/Public/Tendering/OpportunityDetail/Index?noticeUID=CO1.NTC.2751946&amp;isFromPublicArea=True&amp;isModal=False</v>
          </cell>
          <cell r="AH101">
            <v>330</v>
          </cell>
          <cell r="AI101" t="str">
            <v>6 NO CONSTITUYÓ GARANTÍAS</v>
          </cell>
          <cell r="AJ101" t="str">
            <v>PNN Cahuinari</v>
          </cell>
          <cell r="AK101" t="str">
            <v>N/A</v>
          </cell>
          <cell r="AL101" t="str">
            <v>N/A</v>
          </cell>
          <cell r="AM101" t="str">
            <v>N/A</v>
          </cell>
          <cell r="AN101" t="str">
            <v>N/A</v>
          </cell>
          <cell r="AO101">
            <v>41674698</v>
          </cell>
          <cell r="AP101" t="str">
            <v>https://www.secop.gov.co/CO1ContractsManagement/Tendering/ProcurementContractEdit/View?docUniqueIdentifier=CO1.PCCNTR.3501609</v>
          </cell>
          <cell r="AQ101">
            <v>44589</v>
          </cell>
          <cell r="AR101">
            <v>44596</v>
          </cell>
          <cell r="AS101">
            <v>301069264</v>
          </cell>
          <cell r="AT101" t="str">
            <v>FORTALECIMIENTO</v>
          </cell>
        </row>
        <row r="102">
          <cell r="A102">
            <v>101</v>
          </cell>
          <cell r="B102" t="str">
            <v>CAROL ANGELICA CERCADO</v>
          </cell>
          <cell r="C102" t="str">
            <v>CD-DTAM NACION-CPS No. 101 - 2022</v>
          </cell>
          <cell r="D102" t="str">
            <v>JOSE REYES RODRIGUEZ MONTERO</v>
          </cell>
          <cell r="E102">
            <v>11342130</v>
          </cell>
          <cell r="F102">
            <v>23007</v>
          </cell>
          <cell r="G102">
            <v>80111701</v>
          </cell>
          <cell r="H102" t="str">
            <v>11</v>
          </cell>
          <cell r="I102" t="str">
            <v>Prestar servicios asistenciales y de apoyo a la gestión como conductor de vehículos y labores de mantenimiento, mensajería en la sede Leticia</v>
          </cell>
          <cell r="J102">
            <v>44588</v>
          </cell>
          <cell r="K102" t="str">
            <v>4 meses 15 dias</v>
          </cell>
          <cell r="L102">
            <v>15532000</v>
          </cell>
          <cell r="M102">
            <v>1412000</v>
          </cell>
          <cell r="N102" t="str">
            <v>PNN AMACAYACU</v>
          </cell>
          <cell r="O102" t="str">
            <v>NO</v>
          </cell>
          <cell r="P102">
            <v>10322</v>
          </cell>
          <cell r="Q102">
            <v>20225000001483</v>
          </cell>
          <cell r="R102">
            <v>15422</v>
          </cell>
          <cell r="S102">
            <v>44589</v>
          </cell>
          <cell r="T102" t="str">
            <v>C-3202-0900-4-0-3202032-02</v>
          </cell>
          <cell r="U102" t="str">
            <v>Otros servicios profesionales y técnicos n.c.p.</v>
          </cell>
          <cell r="V102">
            <v>4921</v>
          </cell>
          <cell r="W102">
            <v>301054302</v>
          </cell>
          <cell r="Y102">
            <v>44589</v>
          </cell>
          <cell r="Z102">
            <v>44724</v>
          </cell>
          <cell r="AB102" t="str">
            <v>NA</v>
          </cell>
          <cell r="AC102" t="str">
            <v>ELIANA MARTINEZ RUEDA</v>
          </cell>
          <cell r="AF102" t="str">
            <v>PNN AMACAYACU</v>
          </cell>
          <cell r="AG102" t="str">
            <v>https://community.secop.gov.co/Public/Tendering/ContractNoticePhases/View?PPI=CO1.PPI.17241899&amp;isFromPublicArea=True&amp;isModal=False</v>
          </cell>
          <cell r="AH102">
            <v>135</v>
          </cell>
          <cell r="AI102" t="str">
            <v>6 NO CONSTITUYÓ GARANTÍAS</v>
          </cell>
          <cell r="AJ102" t="str">
            <v>PNN Amacayacu</v>
          </cell>
          <cell r="AK102" t="str">
            <v>N/A</v>
          </cell>
          <cell r="AL102" t="str">
            <v>N/A</v>
          </cell>
          <cell r="AM102" t="str">
            <v>N/A</v>
          </cell>
          <cell r="AN102" t="str">
            <v>N/A</v>
          </cell>
          <cell r="AO102">
            <v>51935320</v>
          </cell>
          <cell r="AP102" t="str">
            <v>https://www.secop.gov.co/CO1ContractsManagement/Tendering/ProcurementContractEdit/View?docUniqueIdentifier=CO1.PCCNTR.3489996</v>
          </cell>
          <cell r="AQ102">
            <v>44588</v>
          </cell>
          <cell r="AR102">
            <v>44589</v>
          </cell>
          <cell r="AS102">
            <v>301054302</v>
          </cell>
          <cell r="AT102" t="str">
            <v>ADMINISTRACION</v>
          </cell>
        </row>
        <row r="103">
          <cell r="A103">
            <v>102</v>
          </cell>
          <cell r="B103" t="str">
            <v>NORYLY AGUIRRE OTALORA</v>
          </cell>
          <cell r="C103" t="str">
            <v>CD-DTAM NACION-CPS No. 102 - 2022</v>
          </cell>
          <cell r="D103" t="str">
            <v>ALBERTO LESMES ROJAS</v>
          </cell>
          <cell r="E103">
            <v>15885477</v>
          </cell>
          <cell r="I103" t="str">
            <v>Prestación de servicios de apoyo a la promoción, divulgación y posicionamiento de los Parques Nacionales Naturales en el departamento del Amazonas</v>
          </cell>
          <cell r="K103" t="str">
            <v>11 meses</v>
          </cell>
          <cell r="L103">
            <v>15400000</v>
          </cell>
          <cell r="M103">
            <v>1400000</v>
          </cell>
          <cell r="N103" t="str">
            <v>PNN AMACAYACU</v>
          </cell>
          <cell r="O103" t="str">
            <v>NO</v>
          </cell>
          <cell r="P103">
            <v>11822</v>
          </cell>
          <cell r="R103">
            <v>16022</v>
          </cell>
          <cell r="S103">
            <v>44589</v>
          </cell>
          <cell r="T103" t="str">
            <v>C-3202-0900-4-0-3202010-02</v>
          </cell>
          <cell r="Y103">
            <v>44589</v>
          </cell>
          <cell r="Z103">
            <v>44922</v>
          </cell>
          <cell r="AB103" t="str">
            <v>NA</v>
          </cell>
          <cell r="AC103" t="str">
            <v>ELIANA MARTINEZ RUEDA</v>
          </cell>
          <cell r="AF103" t="str">
            <v>LETICIA</v>
          </cell>
          <cell r="AG103" t="str">
            <v>https://www.secop.gov.co/CO1ContractsManagement/Tendering/ProcurementContractEdit/View?docUniqueIdentifier=CO1.PCCNTR.3489996&amp;awardUniqueIdentifier=&amp;buyerDossierUniqueIdentifier=CO1.BDOS.2758285&amp;id=1740153&amp;prevCtxUrl=https%3a%2f%2fwww.secop.gov.co%2fCO1BusinessLine%2fTendering%2fBuyerDossierWorkspace%2fIndex%3fsortingState%3dLastModifiedDESC%26showAdvancedSearch%3dFalse%26showAdvancedSearchFields%3dFalse%26selectedDossier%3dCO1.BDOS.2758285%26selectedRequest%3dCO1.REQ.2838303%26&amp;prevCtxLbl=Procesos+de+la+Entidad+Estatal</v>
          </cell>
          <cell r="AH103">
            <v>330</v>
          </cell>
          <cell r="AI103" t="str">
            <v>6 NO CONSTITUYÓ GARANTÍAS</v>
          </cell>
          <cell r="AJ103" t="str">
            <v>PNN Amacayacu</v>
          </cell>
          <cell r="AK103" t="str">
            <v>N/A</v>
          </cell>
          <cell r="AL103" t="str">
            <v>N/A</v>
          </cell>
          <cell r="AM103" t="str">
            <v>N/A</v>
          </cell>
          <cell r="AN103" t="str">
            <v>N/A</v>
          </cell>
          <cell r="AO103">
            <v>51935320</v>
          </cell>
          <cell r="AP103" t="str">
            <v>https://www.secop.gov.co/CO1ContractsManagement/Tendering/ProcurementContractEdit/View?docUniqueIdentifier=CO1.PCCNTR.3504069</v>
          </cell>
          <cell r="AQ103">
            <v>44589</v>
          </cell>
          <cell r="AR103">
            <v>44594</v>
          </cell>
          <cell r="AS103">
            <v>301067973</v>
          </cell>
          <cell r="AT103" t="str">
            <v>ADMINISTRACION</v>
          </cell>
        </row>
        <row r="104">
          <cell r="A104">
            <v>103</v>
          </cell>
          <cell r="B104" t="str">
            <v>NORYLY AGUIRRE OTALORA</v>
          </cell>
          <cell r="C104" t="str">
            <v>CD-DTAM NACION-CPS No. 103 - 2022</v>
          </cell>
          <cell r="D104" t="str">
            <v>EDGAR IVAN TANIMUCA MATAPI</v>
          </cell>
          <cell r="E104">
            <v>15876031</v>
          </cell>
          <cell r="I104" t="str">
            <v>Prestar apoyo operativo en la gestión del PNN Yaigojé y su zona de influencia sector sur en las acciones de protección, control Territorial, relacionamiento y actividades encaminadas a la estrategia de PVC</v>
          </cell>
          <cell r="K104" t="str">
            <v>11 meses</v>
          </cell>
          <cell r="L104">
            <v>15532000</v>
          </cell>
          <cell r="M104">
            <v>1412000</v>
          </cell>
          <cell r="N104" t="str">
            <v>PNN YAIGOJE APAPORIS</v>
          </cell>
          <cell r="O104" t="str">
            <v>NO</v>
          </cell>
          <cell r="P104">
            <v>11322</v>
          </cell>
          <cell r="R104">
            <v>16122</v>
          </cell>
          <cell r="S104">
            <v>44589</v>
          </cell>
          <cell r="T104" t="str">
            <v>C-3202-0900-4-0-3202032-02</v>
          </cell>
          <cell r="Y104">
            <v>44589</v>
          </cell>
          <cell r="Z104">
            <v>44922</v>
          </cell>
          <cell r="AB104" t="str">
            <v>NA</v>
          </cell>
          <cell r="AC104" t="str">
            <v>ALEXANDER ALFONSO SEGURA</v>
          </cell>
          <cell r="AF104" t="str">
            <v>LA PEDRERA, AMAZONAS</v>
          </cell>
          <cell r="AG104" t="str">
            <v>https://community.secop.gov.co/Public/Tendering/ContractNoticePhases/View?PPI=CO1.PPI.17306548&amp;isFromPublicArea=True&amp;isModal=False</v>
          </cell>
          <cell r="AH104">
            <v>330</v>
          </cell>
          <cell r="AI104" t="str">
            <v>6 NO CONSTITUYÓ GARANTÍAS</v>
          </cell>
          <cell r="AJ104" t="str">
            <v>PNN Río Puré</v>
          </cell>
          <cell r="AK104" t="str">
            <v>N/A</v>
          </cell>
          <cell r="AL104" t="str">
            <v>N/A</v>
          </cell>
          <cell r="AM104" t="str">
            <v>N/A</v>
          </cell>
          <cell r="AN104" t="str">
            <v>N/A</v>
          </cell>
          <cell r="AO104">
            <v>79672176</v>
          </cell>
          <cell r="AP104" t="str">
            <v>https://www.secop.gov.co/CO1ContractsManagement/Tendering/ProcurementContractEdit/View?docUniqueIdentifier=CO1.PCCNTR.3507309</v>
          </cell>
          <cell r="AQ104">
            <v>44589</v>
          </cell>
          <cell r="AR104">
            <v>44594</v>
          </cell>
          <cell r="AS104">
            <v>301068049</v>
          </cell>
          <cell r="AT104" t="str">
            <v>ADMINISTRACION</v>
          </cell>
        </row>
        <row r="105">
          <cell r="A105">
            <v>104</v>
          </cell>
          <cell r="B105" t="str">
            <v>LAURA CAROLINA CORREA RAMIREZ</v>
          </cell>
          <cell r="C105" t="str">
            <v>CD-DTAM NACION-CPS No. 104 - 2022</v>
          </cell>
          <cell r="D105" t="str">
            <v>FABIANA KARINA RINCON DURAN</v>
          </cell>
          <cell r="E105">
            <v>1024495405</v>
          </cell>
          <cell r="F105">
            <v>21019</v>
          </cell>
          <cell r="G105">
            <v>80111701</v>
          </cell>
          <cell r="H105" t="str">
            <v>11</v>
          </cell>
          <cell r="I105" t="str">
            <v>Prestar servicios profesionales para apoyar la gestión de la línea de cambio climático de acuerdo a los lineamientos de Parques Nacionales Naturales de Colombia y seguimiento a los procesos de cooperación teniendo en cuenta los aliados estratégicos y sus iniciativas que permitan apalancar la gestión de la Dirección Territorial Amazonia y sus AP</v>
          </cell>
          <cell r="J105">
            <v>44588</v>
          </cell>
          <cell r="K105" t="str">
            <v>11 meses</v>
          </cell>
          <cell r="L105">
            <v>62510000</v>
          </cell>
          <cell r="M105">
            <v>5700000</v>
          </cell>
          <cell r="N105" t="str">
            <v>DTAM</v>
          </cell>
          <cell r="O105" t="str">
            <v>NO</v>
          </cell>
          <cell r="P105">
            <v>15622</v>
          </cell>
          <cell r="Q105">
            <v>20225050000113</v>
          </cell>
          <cell r="R105">
            <v>15622</v>
          </cell>
          <cell r="S105">
            <v>44589</v>
          </cell>
          <cell r="T105" t="str">
            <v>C-3202-0900-4-0-3202008-02</v>
          </cell>
          <cell r="W105">
            <v>301057571</v>
          </cell>
          <cell r="Y105">
            <v>44589</v>
          </cell>
          <cell r="Z105">
            <v>44922</v>
          </cell>
          <cell r="AB105" t="str">
            <v>14-46-101070471</v>
          </cell>
          <cell r="AC105" t="str">
            <v>NANCY ESPERANZA RIVERA VEGA</v>
          </cell>
          <cell r="AF105" t="str">
            <v>BOGOTA</v>
          </cell>
          <cell r="AG105" t="str">
            <v>https://community.secop.gov.co/Public/Tendering/ContractNoticePhases/View?PPI=CO1.PPI.17312026&amp;isFromPublicArea=True&amp;isModal=False</v>
          </cell>
          <cell r="AH105">
            <v>330</v>
          </cell>
          <cell r="AI105" t="str">
            <v>6 NO CONSTITUYÓ GARANTÍAS</v>
          </cell>
          <cell r="AJ105" t="str">
            <v>Dirección Territorial Amazonía</v>
          </cell>
          <cell r="AK105" t="str">
            <v>N/A</v>
          </cell>
          <cell r="AL105" t="str">
            <v>N/A</v>
          </cell>
          <cell r="AM105" t="str">
            <v>N/A</v>
          </cell>
          <cell r="AN105" t="str">
            <v>N/A</v>
          </cell>
          <cell r="AO105">
            <v>91297841</v>
          </cell>
          <cell r="AP105" t="str">
            <v>https://www.secop.gov.co/CO1ContractsManagement/Tendering/ProcurementContractEdit/View?docUniqueIdentifier=CO1.PCCNTR.3486361</v>
          </cell>
          <cell r="AQ105">
            <v>44588</v>
          </cell>
          <cell r="AR105">
            <v>44589</v>
          </cell>
          <cell r="AS105">
            <v>301057571</v>
          </cell>
          <cell r="AT105" t="str">
            <v>ADMINISTRACION</v>
          </cell>
        </row>
        <row r="106">
          <cell r="A106">
            <v>105</v>
          </cell>
          <cell r="B106" t="str">
            <v>NORYLY AGUIRRE OTALORA</v>
          </cell>
          <cell r="C106" t="str">
            <v>CD-DTAM NACION-CPS No. 105 - 2022</v>
          </cell>
          <cell r="D106" t="str">
            <v>YINA MARCELA GUTIERREZ MONJE</v>
          </cell>
          <cell r="E106">
            <v>1004268452</v>
          </cell>
          <cell r="I106" t="str">
            <v>Prestar apoyo operario a la gestión para adelantar actividades que permitan mantener adecuadamente el flujo de las labores operativas del Parque Nacional Natural Serranía de los Churumbelos Auka Wasi</v>
          </cell>
          <cell r="K106" t="str">
            <v>10 meses 29 dIas</v>
          </cell>
          <cell r="L106">
            <v>15532000</v>
          </cell>
          <cell r="M106">
            <v>1412000</v>
          </cell>
          <cell r="N106" t="str">
            <v>PNN CHURUMBELOS</v>
          </cell>
          <cell r="O106" t="str">
            <v>NO</v>
          </cell>
          <cell r="P106">
            <v>9722</v>
          </cell>
          <cell r="R106">
            <v>15822</v>
          </cell>
          <cell r="S106">
            <v>44589</v>
          </cell>
          <cell r="T106" t="str">
            <v>C-3202-0900-4-0-3202032-02</v>
          </cell>
          <cell r="Y106">
            <v>44589</v>
          </cell>
          <cell r="Z106">
            <v>44920</v>
          </cell>
          <cell r="AB106" t="str">
            <v>NA</v>
          </cell>
          <cell r="AC106" t="str">
            <v>FLABIO ARMANDO HERRERA CAICEDO</v>
          </cell>
          <cell r="AF106" t="str">
            <v>MOCOA</v>
          </cell>
          <cell r="AG106" t="str">
            <v>https://community.secop.gov.co/Public/Tendering/OpportunityDetail/Index?noticeUID=CO1.NTC.2762492&amp;isFromPublicArea=True&amp;isModal=False</v>
          </cell>
          <cell r="AH106">
            <v>329</v>
          </cell>
          <cell r="AI106" t="str">
            <v>6 NO CONSTITUYÓ GARANTÍAS</v>
          </cell>
          <cell r="AJ106" t="str">
            <v>PNN Serranía de Los Churumbelos</v>
          </cell>
          <cell r="AK106" t="str">
            <v>N/A</v>
          </cell>
          <cell r="AL106" t="str">
            <v>N/A</v>
          </cell>
          <cell r="AM106" t="str">
            <v>N/A</v>
          </cell>
          <cell r="AN106" t="str">
            <v>N/A</v>
          </cell>
          <cell r="AO106">
            <v>19481189</v>
          </cell>
          <cell r="AP106" t="str">
            <v>https://www.secop.gov.co/CO1ContractsManagement/Tendering/ProcurementContractEdit/View?docUniqueIdentifier=CO1.PCCNTR.3508552</v>
          </cell>
          <cell r="AQ106">
            <v>44589</v>
          </cell>
          <cell r="AR106">
            <v>44596</v>
          </cell>
          <cell r="AS106">
            <v>301069394</v>
          </cell>
          <cell r="AT106" t="str">
            <v>ADMINISTRACION</v>
          </cell>
        </row>
        <row r="107">
          <cell r="A107">
            <v>106</v>
          </cell>
          <cell r="B107" t="str">
            <v>LAURA CAROLINA CORREA RAMIREZ</v>
          </cell>
          <cell r="C107" t="str">
            <v>CD-DTAM NACION-CPS No. 106 - 2022</v>
          </cell>
          <cell r="D107" t="str">
            <v>NATALIA GONZALEZ RAMOS</v>
          </cell>
          <cell r="E107">
            <v>53165225</v>
          </cell>
          <cell r="F107">
            <v>21017</v>
          </cell>
          <cell r="G107">
            <v>80111701</v>
          </cell>
          <cell r="H107" t="str">
            <v>11</v>
          </cell>
          <cell r="I107" t="str">
            <v>Prestar servicios profesionales en la Dirección Territorial Amazonia, para aportar técnica y metodológicamente a los procesos de conformación e implementación del Sistema Regional de Áreas Protegidas de la Amazonia (SIRAP Amazonia) y apoyar la ejecución de políticas orientadas hacia la consolidación de los subsistemas de áreas protegidas locales, departamentales junto con las iniciativas de conservación privada en el marco de los lineamientos de Parques Nacionales Naturales de Colombia</v>
          </cell>
          <cell r="J107">
            <v>44588</v>
          </cell>
          <cell r="K107" t="str">
            <v>11 meses</v>
          </cell>
          <cell r="L107">
            <v>69344000</v>
          </cell>
          <cell r="M107">
            <v>6304000</v>
          </cell>
          <cell r="N107" t="str">
            <v>DTAM</v>
          </cell>
          <cell r="O107" t="str">
            <v>NO</v>
          </cell>
          <cell r="P107">
            <v>13522</v>
          </cell>
          <cell r="Q107">
            <v>20225050000103</v>
          </cell>
          <cell r="R107">
            <v>15022</v>
          </cell>
          <cell r="S107">
            <v>44589</v>
          </cell>
          <cell r="T107" t="str">
            <v>C-3202-0900-4-0-3202008-02</v>
          </cell>
          <cell r="W107">
            <v>301054669</v>
          </cell>
          <cell r="Y107">
            <v>44589</v>
          </cell>
          <cell r="Z107">
            <v>44922</v>
          </cell>
          <cell r="AB107" t="str">
            <v>14-44-101147445</v>
          </cell>
          <cell r="AC107" t="str">
            <v>NANCY ESPERANZA RIVERA VEGA</v>
          </cell>
          <cell r="AF107" t="str">
            <v>BOGOTA</v>
          </cell>
          <cell r="AG107" t="str">
            <v>https://community.secop.gov.co/Public/Tendering/ContractNoticePhases/View?PPI=CO1.PPI.17315263&amp;isFromPublicArea=True&amp;isModal=False</v>
          </cell>
          <cell r="AH107">
            <v>330</v>
          </cell>
          <cell r="AI107" t="str">
            <v>6 NO CONSTITUYÓ GARANTÍAS</v>
          </cell>
          <cell r="AJ107" t="str">
            <v>Dirección Territorial Amazonía</v>
          </cell>
          <cell r="AK107" t="str">
            <v>N/A</v>
          </cell>
          <cell r="AL107" t="str">
            <v>N/A</v>
          </cell>
          <cell r="AM107" t="str">
            <v>N/A</v>
          </cell>
          <cell r="AN107" t="str">
            <v>N/A</v>
          </cell>
          <cell r="AO107">
            <v>91297841</v>
          </cell>
          <cell r="AP107" t="str">
            <v>https://www.secop.gov.co/CO1ContractsManagement/Tendering/ProcurementContractEdit/View?docUniqueIdentifier=CO1.PCCNTR.3500624</v>
          </cell>
          <cell r="AQ107">
            <v>44589</v>
          </cell>
          <cell r="AR107">
            <v>44589</v>
          </cell>
          <cell r="AS107">
            <v>301054669</v>
          </cell>
          <cell r="AT107" t="str">
            <v>ADMINISTRACION</v>
          </cell>
        </row>
        <row r="108">
          <cell r="A108">
            <v>107</v>
          </cell>
          <cell r="B108" t="str">
            <v>LAURA CAROLINA CORREA RAMIREZ</v>
          </cell>
          <cell r="C108" t="str">
            <v>CD-DTAM NACION-CPS No. 107 - 2022</v>
          </cell>
          <cell r="D108" t="str">
            <v>JOHN JAIRO HURTADO MELENDEZ</v>
          </cell>
          <cell r="E108">
            <v>80775539</v>
          </cell>
          <cell r="F108">
            <v>21031</v>
          </cell>
          <cell r="G108">
            <v>80111701</v>
          </cell>
          <cell r="H108" t="str">
            <v>11</v>
          </cell>
          <cell r="I108" t="str">
            <v>Prestar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v>
          </cell>
          <cell r="J108">
            <v>44588</v>
          </cell>
          <cell r="K108" t="str">
            <v>11 meses</v>
          </cell>
          <cell r="L108">
            <v>17512000</v>
          </cell>
          <cell r="M108">
            <v>1592000</v>
          </cell>
          <cell r="N108" t="str">
            <v>DTAM</v>
          </cell>
          <cell r="O108" t="str">
            <v>NO</v>
          </cell>
          <cell r="P108">
            <v>15722</v>
          </cell>
          <cell r="Q108">
            <v>20225000000343</v>
          </cell>
          <cell r="R108">
            <v>15222</v>
          </cell>
          <cell r="S108">
            <v>44589</v>
          </cell>
          <cell r="T108" t="str">
            <v>C-3299-0900-2-0-3299060-02</v>
          </cell>
          <cell r="W108">
            <v>301057555</v>
          </cell>
          <cell r="Y108">
            <v>44589</v>
          </cell>
          <cell r="Z108">
            <v>44922</v>
          </cell>
          <cell r="AB108" t="str">
            <v>NA</v>
          </cell>
          <cell r="AC108" t="str">
            <v>CLAUDIA OFELIA MANRIQUE ROA</v>
          </cell>
          <cell r="AF108" t="str">
            <v>BOGOTA</v>
          </cell>
          <cell r="AG108" t="str">
            <v>https://community.secop.gov.co/Public/Tendering/OpportunityDetail/Index?noticeUID=CO1.NTC.2772578&amp;isFromPublicArea=True&amp;isModal=False</v>
          </cell>
          <cell r="AH108">
            <v>330</v>
          </cell>
          <cell r="AI108" t="str">
            <v>6 NO CONSTITUYÓ GARANTÍAS</v>
          </cell>
          <cell r="AJ108" t="str">
            <v>Dirección Territorial Amazonía</v>
          </cell>
          <cell r="AK108" t="str">
            <v>N/A</v>
          </cell>
          <cell r="AL108" t="str">
            <v>N/A</v>
          </cell>
          <cell r="AM108" t="str">
            <v>N/A</v>
          </cell>
          <cell r="AN108" t="str">
            <v>N/A</v>
          </cell>
          <cell r="AO108">
            <v>41674698</v>
          </cell>
          <cell r="AP108" t="str">
            <v>https://www.secop.gov.co/CO1ContractsManagement/Tendering/ProcurementContractEdit/View?docUniqueIdentifier=CO1.PCCNTR.3502248</v>
          </cell>
          <cell r="AQ108">
            <v>44589</v>
          </cell>
          <cell r="AR108">
            <v>44589</v>
          </cell>
          <cell r="AS108">
            <v>301057555</v>
          </cell>
          <cell r="AT108" t="str">
            <v>FORTALECIMIENTO</v>
          </cell>
        </row>
        <row r="109">
          <cell r="A109">
            <v>108</v>
          </cell>
          <cell r="B109" t="str">
            <v>LAURA CAROLINA CORREA RAMIREZ</v>
          </cell>
          <cell r="C109" t="str">
            <v>CESION CD-DTAM NACION CPS No. 171-2021</v>
          </cell>
          <cell r="D109" t="str">
            <v>CAROL ANGÉLICA CERCADO BONILLA</v>
          </cell>
          <cell r="E109">
            <v>1016060857</v>
          </cell>
          <cell r="F109">
            <v>22077</v>
          </cell>
          <cell r="G109">
            <v>80111701</v>
          </cell>
          <cell r="H109" t="str">
            <v>11</v>
          </cell>
          <cell r="I109" t="str">
            <v>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Dirección Territorial Amazonia.</v>
          </cell>
          <cell r="J109">
            <v>44215</v>
          </cell>
          <cell r="K109" t="str">
            <v>11 meses</v>
          </cell>
          <cell r="L109">
            <v>40570368.700000003</v>
          </cell>
          <cell r="M109">
            <v>5532323</v>
          </cell>
          <cell r="N109" t="str">
            <v>DTAM</v>
          </cell>
          <cell r="O109" t="str">
            <v>NO</v>
          </cell>
          <cell r="P109">
            <v>31121</v>
          </cell>
          <cell r="Q109">
            <v>20215030000083</v>
          </cell>
          <cell r="R109">
            <v>4622</v>
          </cell>
          <cell r="S109">
            <v>44581</v>
          </cell>
          <cell r="Y109">
            <v>44589</v>
          </cell>
          <cell r="Z109">
            <v>44922</v>
          </cell>
          <cell r="AB109" t="str">
            <v>NA</v>
          </cell>
          <cell r="AC109" t="str">
            <v>DIANA CAROLINA GOMEZ RODRIGUEZ</v>
          </cell>
          <cell r="AF109" t="str">
            <v>BOGOTA</v>
          </cell>
          <cell r="AG109" t="str">
            <v>https://community.secop.gov.co/Public/Tendering/OpportunityDetail/Index?noticeUID=CO1.NTC.2774525&amp;isFromPublicArea=True&amp;isModal=False</v>
          </cell>
          <cell r="AH109">
            <v>330</v>
          </cell>
          <cell r="AI109" t="str">
            <v>6 NO CONSTITUYÓ GARANTÍAS</v>
          </cell>
          <cell r="AJ109" t="str">
            <v>Dirección Territorial Amazonía</v>
          </cell>
          <cell r="AK109" t="str">
            <v>N/A</v>
          </cell>
          <cell r="AL109" t="str">
            <v>N/A</v>
          </cell>
          <cell r="AM109" t="str">
            <v>N/A</v>
          </cell>
          <cell r="AN109" t="str">
            <v>N/A</v>
          </cell>
          <cell r="AO109">
            <v>24344682</v>
          </cell>
          <cell r="AR109">
            <v>44582</v>
          </cell>
          <cell r="AS109">
            <v>301037423</v>
          </cell>
          <cell r="AT109" t="str">
            <v>ADMINISTRACION</v>
          </cell>
        </row>
        <row r="110">
          <cell r="A110">
            <v>109</v>
          </cell>
          <cell r="B110" t="str">
            <v>LAURA CAROLINA CORREA RAMIREZ</v>
          </cell>
          <cell r="C110" t="str">
            <v>CESION CD-DTAM NACION-CPS No. 057 - 2022</v>
          </cell>
          <cell r="D110" t="str">
            <v>EDUAR ALFONSO DELGADO LONDOÑO</v>
          </cell>
          <cell r="E110">
            <v>1083917069</v>
          </cell>
          <cell r="F110">
            <v>28010</v>
          </cell>
          <cell r="G110">
            <v>80111701</v>
          </cell>
          <cell r="H110" t="str">
            <v>11</v>
          </cell>
          <cell r="I110" t="str">
            <v>Prestar apoyo técnico a la gestión operativa en los procesos de atención a situación de UOT y en el trabajo comunitario con grupos indígenas y campesinos del Parque Nacional Natural Serranía de los Churumbelos Auka Wasi</v>
          </cell>
          <cell r="J110">
            <v>44589</v>
          </cell>
          <cell r="K110" t="str">
            <v>10 meses 29 dIas</v>
          </cell>
          <cell r="L110">
            <v>25552333</v>
          </cell>
          <cell r="M110">
            <v>2330000</v>
          </cell>
          <cell r="N110" t="str">
            <v>PNN CHURUMBELOS</v>
          </cell>
          <cell r="O110" t="str">
            <v>NO</v>
          </cell>
          <cell r="P110">
            <v>9522</v>
          </cell>
          <cell r="R110">
            <v>7622</v>
          </cell>
          <cell r="S110">
            <v>44585</v>
          </cell>
          <cell r="T110" t="str">
            <v>C-3202-0900-4-0-3202031-02</v>
          </cell>
          <cell r="U110" t="str">
            <v>ADQUISICIÓN DE BINES Y SERIVICIOS</v>
          </cell>
          <cell r="V110" t="str">
            <v>0210 - 8299</v>
          </cell>
          <cell r="W110">
            <v>301044770</v>
          </cell>
          <cell r="Y110">
            <v>44585</v>
          </cell>
          <cell r="Z110">
            <v>44589</v>
          </cell>
          <cell r="AB110" t="str">
            <v>NA</v>
          </cell>
          <cell r="AC110" t="str">
            <v>FLABIO ARMANDO HERRERA CAICEDO</v>
          </cell>
          <cell r="AF110" t="str">
            <v>Piamonte (Cauca)</v>
          </cell>
          <cell r="AG110" t="str">
            <v>https://community.secop.gov.co/Public/Tendering/ContractNoticePhases/View?PPI=CO1.PPI.17030958&amp;isFromPublicArea=True&amp;isModal=False</v>
          </cell>
          <cell r="AH110">
            <v>329</v>
          </cell>
          <cell r="AI110" t="str">
            <v>6 NO CONSTITUYÓ GARANTÍAS</v>
          </cell>
          <cell r="AJ110" t="str">
            <v>PNN Serranía de Los Churumbelos</v>
          </cell>
          <cell r="AK110" t="str">
            <v>N/A</v>
          </cell>
          <cell r="AL110" t="str">
            <v>N/A</v>
          </cell>
          <cell r="AM110" t="str">
            <v>N/A</v>
          </cell>
          <cell r="AN110" t="str">
            <v>N/A</v>
          </cell>
          <cell r="AO110">
            <v>19481189</v>
          </cell>
          <cell r="AP110" t="str">
            <v>https://www.secop.gov.co/CO1ContractsManagement/Tendering/ProcurementContractEdit/View?docUniqueIdentifier=CO1.PCCNTR.3380091</v>
          </cell>
          <cell r="AQ110">
            <v>44589</v>
          </cell>
          <cell r="AR110">
            <v>44596</v>
          </cell>
          <cell r="AS110">
            <v>301074114</v>
          </cell>
          <cell r="AT110" t="str">
            <v>ADMINISTRACION</v>
          </cell>
        </row>
        <row r="111">
          <cell r="A111">
            <v>111</v>
          </cell>
        </row>
        <row r="112">
          <cell r="A112">
            <v>112</v>
          </cell>
        </row>
        <row r="113">
          <cell r="A113">
            <v>113</v>
          </cell>
        </row>
        <row r="114">
          <cell r="A114">
            <v>114</v>
          </cell>
        </row>
        <row r="115">
          <cell r="A115">
            <v>115</v>
          </cell>
        </row>
        <row r="116">
          <cell r="A116">
            <v>116</v>
          </cell>
        </row>
        <row r="117">
          <cell r="A117">
            <v>117</v>
          </cell>
        </row>
        <row r="118">
          <cell r="A118">
            <v>118</v>
          </cell>
        </row>
        <row r="119">
          <cell r="A119">
            <v>119</v>
          </cell>
        </row>
        <row r="120">
          <cell r="A120">
            <v>120</v>
          </cell>
        </row>
        <row r="121">
          <cell r="A121">
            <v>121</v>
          </cell>
        </row>
        <row r="122">
          <cell r="A122">
            <v>122</v>
          </cell>
        </row>
        <row r="123">
          <cell r="A123">
            <v>123</v>
          </cell>
        </row>
        <row r="124">
          <cell r="A124">
            <v>124</v>
          </cell>
        </row>
        <row r="125">
          <cell r="A125">
            <v>125</v>
          </cell>
        </row>
        <row r="126">
          <cell r="A126">
            <v>126</v>
          </cell>
        </row>
        <row r="127">
          <cell r="A127">
            <v>127</v>
          </cell>
        </row>
        <row r="128">
          <cell r="A128">
            <v>128</v>
          </cell>
        </row>
        <row r="129">
          <cell r="A129">
            <v>129</v>
          </cell>
        </row>
        <row r="130">
          <cell r="A130">
            <v>130</v>
          </cell>
        </row>
        <row r="131">
          <cell r="A131">
            <v>131</v>
          </cell>
        </row>
        <row r="132">
          <cell r="A132">
            <v>132</v>
          </cell>
        </row>
        <row r="133">
          <cell r="A133">
            <v>133</v>
          </cell>
        </row>
        <row r="134">
          <cell r="A134">
            <v>134</v>
          </cell>
        </row>
        <row r="135">
          <cell r="A135">
            <v>135</v>
          </cell>
        </row>
        <row r="136">
          <cell r="A136">
            <v>136</v>
          </cell>
        </row>
        <row r="137">
          <cell r="A137">
            <v>137</v>
          </cell>
        </row>
        <row r="138">
          <cell r="A138">
            <v>138</v>
          </cell>
        </row>
        <row r="139">
          <cell r="A139">
            <v>139</v>
          </cell>
        </row>
        <row r="140">
          <cell r="A140">
            <v>140</v>
          </cell>
        </row>
        <row r="141">
          <cell r="A141">
            <v>141</v>
          </cell>
        </row>
        <row r="142">
          <cell r="A142">
            <v>142</v>
          </cell>
        </row>
        <row r="143">
          <cell r="A143">
            <v>143</v>
          </cell>
        </row>
        <row r="144">
          <cell r="A144">
            <v>144</v>
          </cell>
        </row>
        <row r="145">
          <cell r="A145">
            <v>145</v>
          </cell>
        </row>
        <row r="146">
          <cell r="A146">
            <v>146</v>
          </cell>
        </row>
        <row r="147">
          <cell r="A147">
            <v>147</v>
          </cell>
        </row>
        <row r="148">
          <cell r="A148">
            <v>148</v>
          </cell>
        </row>
        <row r="149">
          <cell r="A149">
            <v>149</v>
          </cell>
        </row>
        <row r="150">
          <cell r="A150">
            <v>150</v>
          </cell>
        </row>
        <row r="151">
          <cell r="A151">
            <v>151</v>
          </cell>
        </row>
        <row r="152">
          <cell r="A152">
            <v>152</v>
          </cell>
        </row>
        <row r="153">
          <cell r="A153">
            <v>153</v>
          </cell>
        </row>
        <row r="154">
          <cell r="A154">
            <v>154</v>
          </cell>
        </row>
        <row r="155">
          <cell r="A155">
            <v>155</v>
          </cell>
        </row>
        <row r="156">
          <cell r="A156">
            <v>156</v>
          </cell>
        </row>
        <row r="157">
          <cell r="A157">
            <v>157</v>
          </cell>
        </row>
        <row r="158">
          <cell r="A158">
            <v>158</v>
          </cell>
        </row>
        <row r="159">
          <cell r="A159">
            <v>159</v>
          </cell>
        </row>
        <row r="160">
          <cell r="A160">
            <v>160</v>
          </cell>
        </row>
        <row r="161">
          <cell r="A161">
            <v>161</v>
          </cell>
        </row>
        <row r="162">
          <cell r="A162">
            <v>162</v>
          </cell>
        </row>
        <row r="163">
          <cell r="A163">
            <v>163</v>
          </cell>
        </row>
        <row r="164">
          <cell r="A164">
            <v>164</v>
          </cell>
        </row>
        <row r="165">
          <cell r="A165">
            <v>165</v>
          </cell>
        </row>
        <row r="166">
          <cell r="A166">
            <v>166</v>
          </cell>
        </row>
        <row r="167">
          <cell r="A167">
            <v>167</v>
          </cell>
        </row>
        <row r="168">
          <cell r="A168">
            <v>168</v>
          </cell>
        </row>
        <row r="169">
          <cell r="A169">
            <v>169</v>
          </cell>
        </row>
        <row r="170">
          <cell r="A170">
            <v>170</v>
          </cell>
        </row>
        <row r="171">
          <cell r="A171">
            <v>171</v>
          </cell>
        </row>
        <row r="172">
          <cell r="A172">
            <v>172</v>
          </cell>
        </row>
        <row r="173">
          <cell r="A173">
            <v>173</v>
          </cell>
        </row>
        <row r="174">
          <cell r="A174">
            <v>174</v>
          </cell>
        </row>
        <row r="175">
          <cell r="A175">
            <v>175</v>
          </cell>
        </row>
        <row r="176">
          <cell r="A176">
            <v>176</v>
          </cell>
        </row>
        <row r="177">
          <cell r="A177">
            <v>177</v>
          </cell>
        </row>
        <row r="178">
          <cell r="A178">
            <v>178</v>
          </cell>
        </row>
        <row r="179">
          <cell r="A179">
            <v>179</v>
          </cell>
        </row>
        <row r="180">
          <cell r="A180">
            <v>180</v>
          </cell>
        </row>
        <row r="181">
          <cell r="A181">
            <v>181</v>
          </cell>
        </row>
        <row r="182">
          <cell r="A182">
            <v>182</v>
          </cell>
        </row>
        <row r="183">
          <cell r="A183">
            <v>183</v>
          </cell>
        </row>
        <row r="184">
          <cell r="A184">
            <v>184</v>
          </cell>
        </row>
        <row r="185">
          <cell r="A185">
            <v>185</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BDB42-78B8-4231-B885-34476590643B}">
  <sheetPr>
    <outlinePr summaryBelow="0" summaryRight="0"/>
  </sheetPr>
  <dimension ref="A1:BR111"/>
  <sheetViews>
    <sheetView tabSelected="1" zoomScaleNormal="100" workbookViewId="0">
      <pane xSplit="6" ySplit="1" topLeftCell="G2" activePane="bottomRight" state="frozen"/>
      <selection pane="topRight" activeCell="F1" sqref="F1"/>
      <selection pane="bottomLeft" activeCell="A2" sqref="A2"/>
      <selection pane="bottomRight" activeCell="Q4" sqref="Q4"/>
    </sheetView>
  </sheetViews>
  <sheetFormatPr baseColWidth="10" defaultColWidth="17.28515625" defaultRowHeight="15" customHeight="1"/>
  <cols>
    <col min="1" max="1" width="6.7109375" style="21" bestFit="1" customWidth="1"/>
    <col min="2" max="2" width="24" style="21" customWidth="1"/>
    <col min="3" max="3" width="16.140625" style="21" customWidth="1"/>
    <col min="4" max="4" width="42.7109375" style="21" bestFit="1" customWidth="1"/>
    <col min="5" max="5" width="11.5703125" style="35" customWidth="1"/>
    <col min="6" max="6" width="42.42578125" style="21" bestFit="1" customWidth="1"/>
    <col min="7" max="7" width="26.7109375" style="35" bestFit="1" customWidth="1"/>
    <col min="8" max="8" width="43" style="21" customWidth="1"/>
    <col min="9" max="9" width="30.28515625" style="91" customWidth="1"/>
    <col min="10" max="10" width="28.85546875" style="21" customWidth="1"/>
    <col min="11" max="11" width="19.28515625" style="35" customWidth="1"/>
    <col min="12" max="12" width="10.85546875" style="21" bestFit="1" customWidth="1"/>
    <col min="13" max="13" width="9.42578125" style="21" bestFit="1" customWidth="1"/>
    <col min="14" max="14" width="16.7109375" style="21" bestFit="1" customWidth="1"/>
    <col min="15" max="15" width="19.140625" style="21" customWidth="1"/>
    <col min="16" max="16" width="18" style="102" customWidth="1"/>
    <col min="17" max="17" width="14.85546875" style="92" customWidth="1"/>
    <col min="18" max="18" width="17.7109375" style="21" customWidth="1"/>
    <col min="19" max="19" width="22.28515625" style="21" bestFit="1" customWidth="1"/>
    <col min="20" max="20" width="25.140625" style="21" bestFit="1" customWidth="1"/>
    <col min="21" max="21" width="24.140625" style="93" customWidth="1"/>
    <col min="22" max="22" width="16.42578125" style="35" customWidth="1"/>
    <col min="23" max="23" width="20.140625" style="21" customWidth="1"/>
    <col min="24" max="24" width="18.140625" style="35" customWidth="1"/>
    <col min="25" max="25" width="42.42578125" style="21" bestFit="1" customWidth="1"/>
    <col min="26" max="26" width="29.85546875" style="21" bestFit="1" customWidth="1"/>
    <col min="27" max="27" width="29.28515625" style="35" bestFit="1" customWidth="1"/>
    <col min="28" max="28" width="19.42578125" style="21" customWidth="1"/>
    <col min="29" max="29" width="17.140625" style="35" customWidth="1"/>
    <col min="30" max="30" width="20" style="35" customWidth="1"/>
    <col min="31" max="31" width="37.7109375" style="21" customWidth="1"/>
    <col min="32" max="32" width="19.140625" style="21" customWidth="1"/>
    <col min="33" max="33" width="25.140625" style="21" bestFit="1" customWidth="1"/>
    <col min="34" max="34" width="21.42578125" style="93" customWidth="1"/>
    <col min="35" max="35" width="48.42578125" style="21" customWidth="1"/>
    <col min="36" max="36" width="22.85546875" style="35" customWidth="1"/>
    <col min="37" max="37" width="15.85546875" style="21" hidden="1" customWidth="1"/>
    <col min="38" max="38" width="18.5703125" style="35" customWidth="1"/>
    <col min="39" max="39" width="16.140625" style="21" customWidth="1"/>
    <col min="40" max="40" width="21.42578125" style="21" customWidth="1"/>
    <col min="41" max="41" width="15.85546875" style="21" customWidth="1"/>
    <col min="42" max="42" width="16.28515625" style="21" customWidth="1"/>
    <col min="43" max="43" width="13.28515625" style="21" customWidth="1"/>
    <col min="44" max="44" width="11.140625" style="21" customWidth="1"/>
    <col min="45" max="45" width="17" style="21" customWidth="1"/>
    <col min="46" max="46" width="16.5703125" style="21" customWidth="1"/>
    <col min="47" max="47" width="18.28515625" style="21" customWidth="1"/>
    <col min="48" max="48" width="16.5703125" style="21" customWidth="1"/>
    <col min="49" max="50" width="21" style="21" customWidth="1"/>
    <col min="51" max="51" width="17.85546875" style="21" customWidth="1"/>
    <col min="52" max="52" width="19" style="21" customWidth="1"/>
    <col min="53" max="54" width="15.140625" style="21" customWidth="1"/>
    <col min="55" max="55" width="20.42578125" style="21" customWidth="1"/>
    <col min="56" max="56" width="25.42578125" style="21" hidden="1" customWidth="1"/>
    <col min="57" max="57" width="18.85546875" style="21" hidden="1" customWidth="1"/>
    <col min="58" max="58" width="18" style="93" hidden="1" customWidth="1"/>
    <col min="59" max="59" width="35.140625" style="21" hidden="1" customWidth="1"/>
    <col min="60" max="60" width="21.85546875" style="21" customWidth="1"/>
    <col min="61" max="61" width="17.28515625" style="21" customWidth="1"/>
    <col min="62" max="62" width="19.5703125" style="21" customWidth="1"/>
    <col min="63" max="63" width="45" style="22" customWidth="1"/>
    <col min="64" max="64" width="34.85546875" style="21" customWidth="1"/>
    <col min="65" max="66" width="17.28515625" style="21" customWidth="1"/>
    <col min="67" max="67" width="31" style="21" bestFit="1" customWidth="1"/>
    <col min="68" max="70" width="15" style="21" customWidth="1"/>
    <col min="71" max="16384" width="17.28515625" style="21"/>
  </cols>
  <sheetData>
    <row r="1" spans="1:70" s="1" customFormat="1" ht="51" customHeight="1">
      <c r="A1" s="1" t="s">
        <v>0</v>
      </c>
      <c r="B1" s="2" t="s">
        <v>1</v>
      </c>
      <c r="C1" s="2" t="s">
        <v>2</v>
      </c>
      <c r="D1" s="3" t="s">
        <v>3</v>
      </c>
      <c r="E1" s="2" t="s">
        <v>4</v>
      </c>
      <c r="F1" s="2" t="s">
        <v>5</v>
      </c>
      <c r="G1" s="4" t="s">
        <v>6</v>
      </c>
      <c r="H1" s="2" t="s">
        <v>7</v>
      </c>
      <c r="I1" s="5" t="s">
        <v>8</v>
      </c>
      <c r="J1" s="2" t="s">
        <v>9</v>
      </c>
      <c r="K1" s="2" t="s">
        <v>10</v>
      </c>
      <c r="L1" s="6" t="s">
        <v>11</v>
      </c>
      <c r="M1" s="6" t="s">
        <v>12</v>
      </c>
      <c r="N1" s="3" t="s">
        <v>13</v>
      </c>
      <c r="O1" s="2" t="s">
        <v>14</v>
      </c>
      <c r="P1" s="7" t="s">
        <v>15</v>
      </c>
      <c r="Q1" s="8" t="s">
        <v>16</v>
      </c>
      <c r="R1" s="9" t="s">
        <v>17</v>
      </c>
      <c r="S1" s="2" t="s">
        <v>18</v>
      </c>
      <c r="T1" s="2" t="s">
        <v>19</v>
      </c>
      <c r="U1" s="10" t="s">
        <v>20</v>
      </c>
      <c r="V1" s="2" t="s">
        <v>21</v>
      </c>
      <c r="W1" s="2" t="s">
        <v>22</v>
      </c>
      <c r="X1" s="2" t="s">
        <v>23</v>
      </c>
      <c r="Y1" s="2" t="s">
        <v>24</v>
      </c>
      <c r="Z1" s="2" t="s">
        <v>25</v>
      </c>
      <c r="AA1" s="2" t="s">
        <v>26</v>
      </c>
      <c r="AB1" s="2" t="s">
        <v>27</v>
      </c>
      <c r="AC1" s="2" t="s">
        <v>28</v>
      </c>
      <c r="AD1" s="2" t="s">
        <v>29</v>
      </c>
      <c r="AE1" s="2" t="s">
        <v>30</v>
      </c>
      <c r="AF1" s="2" t="s">
        <v>31</v>
      </c>
      <c r="AG1" s="2" t="s">
        <v>32</v>
      </c>
      <c r="AH1" s="11" t="s">
        <v>33</v>
      </c>
      <c r="AI1" s="2" t="s">
        <v>34</v>
      </c>
      <c r="AJ1" s="6" t="s">
        <v>35</v>
      </c>
      <c r="AK1" s="12" t="s">
        <v>36</v>
      </c>
      <c r="AL1" s="13" t="s">
        <v>37</v>
      </c>
      <c r="AM1" s="14" t="s">
        <v>38</v>
      </c>
      <c r="AN1" s="2" t="s">
        <v>39</v>
      </c>
      <c r="AO1" s="2" t="s">
        <v>40</v>
      </c>
      <c r="AP1" s="15" t="s">
        <v>41</v>
      </c>
      <c r="AQ1" s="2" t="s">
        <v>42</v>
      </c>
      <c r="AR1" s="2" t="s">
        <v>43</v>
      </c>
      <c r="AS1" s="2" t="s">
        <v>44</v>
      </c>
      <c r="AT1" s="2" t="s">
        <v>45</v>
      </c>
      <c r="AU1" s="2" t="s">
        <v>46</v>
      </c>
      <c r="AV1" s="2" t="s">
        <v>47</v>
      </c>
      <c r="AW1" s="2" t="s">
        <v>48</v>
      </c>
      <c r="AX1" s="2" t="s">
        <v>49</v>
      </c>
      <c r="AY1" s="2" t="s">
        <v>50</v>
      </c>
      <c r="AZ1" s="2" t="s">
        <v>51</v>
      </c>
      <c r="BA1" s="3" t="s">
        <v>52</v>
      </c>
      <c r="BB1" s="2" t="s">
        <v>53</v>
      </c>
      <c r="BC1" s="2" t="s">
        <v>54</v>
      </c>
      <c r="BD1" s="2" t="s">
        <v>55</v>
      </c>
      <c r="BE1" s="2" t="s">
        <v>56</v>
      </c>
      <c r="BF1" s="11" t="s">
        <v>57</v>
      </c>
      <c r="BG1" s="16" t="s">
        <v>58</v>
      </c>
      <c r="BH1" s="16" t="s">
        <v>59</v>
      </c>
      <c r="BI1" s="16" t="s">
        <v>60</v>
      </c>
      <c r="BJ1" s="16" t="s">
        <v>61</v>
      </c>
      <c r="BK1" s="17" t="s">
        <v>62</v>
      </c>
      <c r="BL1" s="18" t="s">
        <v>63</v>
      </c>
      <c r="BM1" s="2" t="s">
        <v>64</v>
      </c>
      <c r="BN1" s="2" t="s">
        <v>65</v>
      </c>
      <c r="BO1" s="19" t="s">
        <v>66</v>
      </c>
      <c r="BP1" s="20"/>
      <c r="BQ1" s="20"/>
      <c r="BR1" s="20"/>
    </row>
    <row r="2" spans="1:70">
      <c r="A2" s="21">
        <v>1</v>
      </c>
      <c r="B2" s="22" t="s">
        <v>67</v>
      </c>
      <c r="C2" s="23" t="s">
        <v>68</v>
      </c>
      <c r="D2" s="24" t="str">
        <f>VLOOKUP(A2,[1]CPS!A1:AG185,3,FALSE)</f>
        <v>CD-DTAM NACION-CPS No. 001 - 2022</v>
      </c>
      <c r="E2" s="25">
        <v>1</v>
      </c>
      <c r="F2" s="22" t="str">
        <f>VLOOKUP(A2,[1]CPS!A1:AG185,4,FALSE)</f>
        <v>LAURA CAROLINA CORREA RAMIREZ</v>
      </c>
      <c r="G2" s="26">
        <f>VLOOKUP(A2,[1]CPS!A1:AU185,43,FALSE)</f>
        <v>44573</v>
      </c>
      <c r="H2" s="22" t="str">
        <f>VLOOKUP(A2,[1]CPS!A1:AG185,9,FALSE)</f>
        <v xml:space="preserve">Prestación de servicios profesionales y de apoyo a la gestion para adelantar diversos procedimientos  legales  relacionados con tramites precontractuales, contractuales y poscontractuales a través de las plataformas sipuestas por  el Gobierno Nacional, asi como apoyo en  la elaboración de notificaciones  en los procesos sancionatorios  ambientales  de la Dirección Territorial Amazonia de Parques Nacionales Naturales de Colombia. </v>
      </c>
      <c r="I2" s="27" t="s">
        <v>69</v>
      </c>
      <c r="J2" s="22" t="s">
        <v>70</v>
      </c>
      <c r="K2" s="25" t="s">
        <v>71</v>
      </c>
      <c r="L2" s="28">
        <f>VLOOKUP(A2,[1]CPS!A1:AG185,16,FALSE)</f>
        <v>2822</v>
      </c>
      <c r="M2" s="28">
        <f>VLOOKUP(A2,[1]CPS!A1:AG185,18,FALSE)</f>
        <v>2622</v>
      </c>
      <c r="N2" s="29">
        <f>VLOOKUP(A2,[1]CPS!A1:AG185,19,FALSE)</f>
        <v>44574</v>
      </c>
      <c r="O2" s="22" t="str">
        <f>VLOOKUP(A2,[1]CPS!A1:AU185,46,FALSE)</f>
        <v>FORTALECIMIENTO</v>
      </c>
      <c r="P2" s="30">
        <f>VLOOKUP(A2,[1]CPS!A1:AG185,13,FALSE)</f>
        <v>5100000</v>
      </c>
      <c r="Q2" s="31">
        <f>VLOOKUP(A2,[1]CPS!A1:AG185,12,FALSE)</f>
        <v>56100000</v>
      </c>
      <c r="R2" s="32"/>
      <c r="S2" s="22" t="s">
        <v>72</v>
      </c>
      <c r="T2" s="22" t="s">
        <v>73</v>
      </c>
      <c r="U2" s="33">
        <f>VLOOKUP(A2,[1]CPS!A1:AG185,5,FALSE)</f>
        <v>1010213553</v>
      </c>
      <c r="V2" s="34" t="s">
        <v>74</v>
      </c>
      <c r="W2" s="21" t="s">
        <v>75</v>
      </c>
      <c r="X2" s="35" t="s">
        <v>71</v>
      </c>
      <c r="Y2" s="22" t="str">
        <f t="shared" ref="Y2:Y65" si="0">F2</f>
        <v>LAURA CAROLINA CORREA RAMIREZ</v>
      </c>
      <c r="Z2" s="22" t="str">
        <f>VLOOKUP(A2,[1]CPS!A1:AU185,35,FALSE)</f>
        <v>1 PÓLIZA</v>
      </c>
      <c r="AA2" s="25" t="str">
        <f>VLOOKUP(A2,[1]CPS!A1:AU185,37,FALSE)</f>
        <v>12 SEGUROS DEL ESTADO</v>
      </c>
      <c r="AB2" s="36" t="s">
        <v>76</v>
      </c>
      <c r="AC2" s="37">
        <f>VLOOKUP(A2,[1]CPS!A1:AU185,38,FALSE)</f>
        <v>44574</v>
      </c>
      <c r="AD2" s="24" t="str">
        <f>VLOOKUP(A2,[1]CPS!A1:AU185,39,FALSE)</f>
        <v>14-44-101144036</v>
      </c>
      <c r="AE2" s="22" t="str">
        <f>VLOOKUP(A2,[1]CPS!A1:AU185,36,FALSE)</f>
        <v>Dirección Territorial Amazonía</v>
      </c>
      <c r="AF2" s="22" t="s">
        <v>77</v>
      </c>
      <c r="AG2" s="22" t="s">
        <v>73</v>
      </c>
      <c r="AH2" s="38">
        <f>VLOOKUP(A2,[1]CPS!A1:AU185,41,FALSE)</f>
        <v>24344682</v>
      </c>
      <c r="AI2" s="39" t="str">
        <f>VLOOKUP(A2,[1]CPS!A1:AU185,29,FALSE)</f>
        <v>DIANA CAROLINA GOMEZ RODRIGUEZ</v>
      </c>
      <c r="AJ2" s="25">
        <f>VLOOKUP(A2,[1]CPS!A1:AH185,34,FALSE)</f>
        <v>330</v>
      </c>
      <c r="AK2" s="22"/>
      <c r="AL2" s="40">
        <f>VLOOKUP(A2,[1]CPS!A1:AU185,40,FALSE)</f>
        <v>44574</v>
      </c>
      <c r="AM2" s="41">
        <f>VLOOKUP(A2,[1]CPS!A1:AU185,44,FALSE)</f>
        <v>44574</v>
      </c>
      <c r="AN2" s="22" t="s">
        <v>78</v>
      </c>
      <c r="AO2" s="22">
        <v>0</v>
      </c>
      <c r="AP2" s="42">
        <v>0</v>
      </c>
      <c r="AQ2" s="43"/>
      <c r="AR2" s="44">
        <v>0</v>
      </c>
      <c r="AS2" s="43"/>
      <c r="AT2" s="45">
        <f>VLOOKUP(A2,[1]CPS!A1:AU185,25,FALSE)</f>
        <v>44209</v>
      </c>
      <c r="AU2" s="46">
        <f>VLOOKUP(A2,[1]CPS!A1:AU185,26,FALSE)</f>
        <v>44907</v>
      </c>
      <c r="AV2" s="23"/>
      <c r="AW2" s="22" t="s">
        <v>79</v>
      </c>
      <c r="AX2" s="22"/>
      <c r="AY2" s="22"/>
      <c r="AZ2" s="22" t="s">
        <v>79</v>
      </c>
      <c r="BA2" s="22">
        <v>0</v>
      </c>
      <c r="BB2" s="22"/>
      <c r="BC2" s="22"/>
      <c r="BD2" s="22"/>
      <c r="BE2" s="47"/>
      <c r="BF2" s="48">
        <f t="shared" ref="BF2:BF65" si="1">Q2+AP2</f>
        <v>56100000</v>
      </c>
      <c r="BG2" s="49" t="str">
        <f>VLOOKUP(A2,[1]CPS!A1:AU185,2,FALSE)</f>
        <v>MARIA ALEJANDRA SANCHEZ RIVERA</v>
      </c>
      <c r="BH2" s="50" t="str">
        <f>VLOOKUP(A2,[1]CPS!A1:AU185,42,FALSE)</f>
        <v>https://www.secop.gov.co/CO1ContractsManagement/Tendering/ProcurementContractEdit/View?docUniqueIdentifier=CO1.PCCNTR.3216714</v>
      </c>
      <c r="BI2" s="22" t="s">
        <v>80</v>
      </c>
      <c r="BJ2" s="22"/>
      <c r="BK2" s="51" t="str">
        <f>VLOOKUP(A2,[1]CPS!A1:AU185,33,FALSE)</f>
        <v>https://community.secop.gov.co/Public/Tendering/ContractNoticePhases/View?PPI=CO1.PPI.16636146&amp;isFromPublicArea=True&amp;isModal=False</v>
      </c>
      <c r="BL2" s="52"/>
      <c r="BM2" s="52"/>
      <c r="BN2" s="22"/>
      <c r="BO2" s="53" t="s">
        <v>81</v>
      </c>
      <c r="BP2" s="22"/>
      <c r="BQ2" s="22"/>
      <c r="BR2" s="22"/>
    </row>
    <row r="3" spans="1:70" ht="12.75" customHeight="1">
      <c r="A3" s="21">
        <v>2</v>
      </c>
      <c r="B3" s="22" t="s">
        <v>82</v>
      </c>
      <c r="C3" s="23" t="s">
        <v>68</v>
      </c>
      <c r="D3" s="24" t="str">
        <f>VLOOKUP(A3,[1]CPS!A2:AG186,3,FALSE)</f>
        <v>CD-DTAM NACION-CPS No. 002 - 2022</v>
      </c>
      <c r="E3" s="25">
        <v>2</v>
      </c>
      <c r="F3" s="22" t="str">
        <f>VLOOKUP(A3,[1]CPS!A2:AG186,4,FALSE)</f>
        <v>ANDRES CAMILO LOPEZ ROZO</v>
      </c>
      <c r="G3" s="26">
        <f>VLOOKUP(A3,[1]CPS!A2:AU186,43,FALSE)</f>
        <v>44573</v>
      </c>
      <c r="H3" s="22" t="str">
        <f>VLOOKUP(A3,[1]CPS!A2:AG186,9,FALSE)</f>
        <v>Prestar servicios profesionales en la Dirección Territorial Amazonia de Parques Nacionales Naturales de Colombia, como ingeniero de sistemas para brindar el soporte requerido en la infraestructura tecnológica (física y lógica) a la red, aplicativos del estado y de la entidad, administración de servidores, equipos de cómputo y todo elemento tecnológico, así como el apoyo a las diferentes contrataciones y supervisiones requeridas aplicando la normatividad vigente y los lineamientos de la Entidad</v>
      </c>
      <c r="I3" s="27" t="s">
        <v>69</v>
      </c>
      <c r="J3" s="22" t="s">
        <v>70</v>
      </c>
      <c r="K3" s="25" t="s">
        <v>71</v>
      </c>
      <c r="L3" s="28">
        <f>VLOOKUP(A3,[1]CPS!A2:AG186,16,FALSE)</f>
        <v>2922</v>
      </c>
      <c r="M3" s="28">
        <f>VLOOKUP(A3,[1]CPS!A2:AG186,18,FALSE)</f>
        <v>2722</v>
      </c>
      <c r="N3" s="29">
        <f>VLOOKUP(A3,[1]CPS!A2:AG186,19,FALSE)</f>
        <v>44574</v>
      </c>
      <c r="O3" s="22" t="str">
        <f>VLOOKUP(A3,[1]CPS!A2:AU186,46,FALSE)</f>
        <v>FORTALECIMIENTO</v>
      </c>
      <c r="P3" s="30">
        <f>VLOOKUP(A3,[1]CPS!A2:AG186,13,FALSE)</f>
        <v>5100000</v>
      </c>
      <c r="Q3" s="31">
        <f>VLOOKUP(A3,[1]CPS!A2:AG186,12,FALSE)</f>
        <v>58480000</v>
      </c>
      <c r="R3" s="32"/>
      <c r="S3" s="22" t="s">
        <v>72</v>
      </c>
      <c r="T3" s="22" t="s">
        <v>73</v>
      </c>
      <c r="U3" s="33">
        <f>VLOOKUP(A3,[1]CPS!A2:AG186,5,FALSE)</f>
        <v>80853037</v>
      </c>
      <c r="V3" s="34" t="s">
        <v>74</v>
      </c>
      <c r="W3" s="21" t="s">
        <v>75</v>
      </c>
      <c r="X3" s="35" t="s">
        <v>71</v>
      </c>
      <c r="Y3" s="22" t="str">
        <f t="shared" si="0"/>
        <v>ANDRES CAMILO LOPEZ ROZO</v>
      </c>
      <c r="Z3" s="22" t="str">
        <f>VLOOKUP(A3,[1]CPS!A2:AU186,35,FALSE)</f>
        <v>1 PÓLIZA</v>
      </c>
      <c r="AA3" s="25" t="str">
        <f>VLOOKUP(A3,[1]CPS!A2:AU186,37,FALSE)</f>
        <v>12 SEGUROS DEL ESTADO</v>
      </c>
      <c r="AB3" s="36" t="s">
        <v>76</v>
      </c>
      <c r="AC3" s="26">
        <f>VLOOKUP(A3,[1]CPS!A2:AU186,38,FALSE)</f>
        <v>44574</v>
      </c>
      <c r="AD3" s="25" t="str">
        <f>VLOOKUP(A3,[1]CPS!A2:AU186,39,FALSE)</f>
        <v>21-44-101372904</v>
      </c>
      <c r="AE3" s="22" t="str">
        <f>VLOOKUP(A3,[1]CPS!A2:AU186,36,FALSE)</f>
        <v>Dirección Territorial Amazonía</v>
      </c>
      <c r="AF3" s="22" t="s">
        <v>77</v>
      </c>
      <c r="AG3" s="22" t="s">
        <v>73</v>
      </c>
      <c r="AH3" s="38">
        <f>VLOOKUP(A3,[1]CPS!A2:AU186,41,FALSE)</f>
        <v>41674698</v>
      </c>
      <c r="AI3" s="22" t="str">
        <f>VLOOKUP(A3,[1]CPS!A2:AU186,29,FALSE)</f>
        <v>CLAUDIA OFELIA MANRIQUE ROA</v>
      </c>
      <c r="AJ3" s="25">
        <f>VLOOKUP(A3,[1]CPS!A2:AH186,34,FALSE)</f>
        <v>344</v>
      </c>
      <c r="AK3" s="22"/>
      <c r="AL3" s="54">
        <f>VLOOKUP(A3,[1]CPS!A2:AU186,40,FALSE)</f>
        <v>44574</v>
      </c>
      <c r="AM3" s="41">
        <f>VLOOKUP(A3,[1]CPS!A2:AU186,44,FALSE)</f>
        <v>44574</v>
      </c>
      <c r="AN3" s="22" t="s">
        <v>78</v>
      </c>
      <c r="AO3" s="22">
        <v>0</v>
      </c>
      <c r="AP3" s="42">
        <v>0</v>
      </c>
      <c r="AQ3" s="43"/>
      <c r="AR3" s="44">
        <v>0</v>
      </c>
      <c r="AS3" s="43"/>
      <c r="AT3" s="45">
        <f>VLOOKUP(A3,[1]CPS!A2:AU186,25,FALSE)</f>
        <v>44908</v>
      </c>
      <c r="AU3" s="45">
        <f>VLOOKUP(A3,[1]CPS!A2:AU186,26,FALSE)</f>
        <v>44921</v>
      </c>
      <c r="AV3" s="23"/>
      <c r="AW3" s="22" t="s">
        <v>79</v>
      </c>
      <c r="AX3" s="22"/>
      <c r="AY3" s="22"/>
      <c r="AZ3" s="22" t="s">
        <v>79</v>
      </c>
      <c r="BA3" s="22">
        <v>0</v>
      </c>
      <c r="BB3" s="22"/>
      <c r="BC3" s="22"/>
      <c r="BD3" s="22"/>
      <c r="BE3" s="47"/>
      <c r="BF3" s="48">
        <f t="shared" si="1"/>
        <v>58480000</v>
      </c>
      <c r="BG3" s="49" t="str">
        <f>VLOOKUP(A3,[1]CPS!A2:AU186,2,FALSE)</f>
        <v>NORYLY AGUIRRE OTALORA</v>
      </c>
      <c r="BH3" s="50" t="str">
        <f>VLOOKUP(A3,[1]CPS!A2:AU186,42,FALSE)</f>
        <v>https://www.secop.gov.co/CO1ContractsManagement/Tendering/ProcurementContractEdit/View?docUniqueIdentifier=CO1.PCCNTR.3211035</v>
      </c>
      <c r="BI3" s="22" t="s">
        <v>80</v>
      </c>
      <c r="BJ3" s="22"/>
      <c r="BK3" s="51" t="str">
        <f>VLOOKUP(A3,[1]CPS!A2:AU186,33,FALSE)</f>
        <v>https://community.secop.gov.co/Public/Tendering/ContractNoticePhases/View?PPI=CO1.PPI.16663042&amp;isFromPublicArea=True&amp;isModal=False</v>
      </c>
      <c r="BL3" s="52"/>
      <c r="BM3" s="52"/>
      <c r="BN3" s="22"/>
      <c r="BO3" s="53" t="s">
        <v>81</v>
      </c>
      <c r="BP3" s="22"/>
      <c r="BQ3" s="22"/>
      <c r="BR3" s="22"/>
    </row>
    <row r="4" spans="1:70">
      <c r="A4" s="21">
        <v>3</v>
      </c>
      <c r="B4" s="22" t="s">
        <v>83</v>
      </c>
      <c r="C4" s="23" t="s">
        <v>68</v>
      </c>
      <c r="D4" s="24" t="str">
        <f>VLOOKUP(A4,[1]CPS!A3:AG187,3,FALSE)</f>
        <v>CD-DTAM NACION-CPS No. 003 - 2022</v>
      </c>
      <c r="E4" s="25">
        <v>3</v>
      </c>
      <c r="F4" s="22" t="str">
        <f>VLOOKUP(A4,[1]CPS!A3:AG187,4,FALSE)</f>
        <v>SANDRA LILIANA RONCANCIO AVENDAÑO</v>
      </c>
      <c r="G4" s="26">
        <f>VLOOKUP(A4,[1]CPS!A3:AU187,43,FALSE)</f>
        <v>44574</v>
      </c>
      <c r="H4" s="22" t="str">
        <f>VLOOKUP(A4,[1]CPS!A3:AG187,9,FALSE)</f>
        <v>Prestación de servicios técnicos y apoyo en el proceso de gestión documental y el centro de documentación bajo la plataforma OpenKM, de acuerdo a los lineamientos del Nivel Central; Así mismo apoyar a la oficina del director territorial en administración y seguimiento de la agenda, el correo electrónico, ORFEO, SECOP II y Tienda Virtual y   seguimiento a las PQRs recibidas y tramitadas en la Dirección Territorial Amazonía.</v>
      </c>
      <c r="I4" s="27" t="s">
        <v>69</v>
      </c>
      <c r="J4" s="22" t="s">
        <v>70</v>
      </c>
      <c r="K4" s="25" t="s">
        <v>71</v>
      </c>
      <c r="L4" s="28">
        <f>VLOOKUP(A4,[1]CPS!A3:AG187,16,FALSE)</f>
        <v>3022</v>
      </c>
      <c r="M4" s="28">
        <f>VLOOKUP(A4,[1]CPS!A3:AG187,18,FALSE)</f>
        <v>2822</v>
      </c>
      <c r="N4" s="29">
        <f>VLOOKUP(A4,[1]CPS!A3:AG187,19,FALSE)</f>
        <v>44574</v>
      </c>
      <c r="O4" s="22" t="str">
        <f>VLOOKUP(A4,[1]CPS!A3:AU187,46,FALSE)</f>
        <v>FORTALECIMIENTO</v>
      </c>
      <c r="P4" s="30">
        <f>VLOOKUP(A4,[1]CPS!A3:AG187,13,FALSE)</f>
        <v>2812000</v>
      </c>
      <c r="Q4" s="31">
        <f>VLOOKUP(A4,[1]CPS!A3:AG187,12,FALSE)</f>
        <v>32338000</v>
      </c>
      <c r="R4" s="32"/>
      <c r="S4" s="22" t="s">
        <v>72</v>
      </c>
      <c r="T4" s="22" t="s">
        <v>73</v>
      </c>
      <c r="U4" s="33">
        <f>VLOOKUP(A4,[1]CPS!A3:AG187,5,FALSE)</f>
        <v>52931785</v>
      </c>
      <c r="V4" s="34" t="s">
        <v>74</v>
      </c>
      <c r="W4" s="21" t="s">
        <v>75</v>
      </c>
      <c r="X4" s="35" t="s">
        <v>71</v>
      </c>
      <c r="Y4" s="22" t="str">
        <f t="shared" si="0"/>
        <v>SANDRA LILIANA RONCANCIO AVENDAÑO</v>
      </c>
      <c r="Z4" s="22" t="str">
        <f>VLOOKUP(A4,[1]CPS!A3:AU187,35,FALSE)</f>
        <v>6 NO CONSTITUYÓ GARANTÍAS</v>
      </c>
      <c r="AA4" s="25" t="str">
        <f>VLOOKUP(A4,[1]CPS!A3:AU187,37,FALSE)</f>
        <v>N/A</v>
      </c>
      <c r="AB4" s="55" t="s">
        <v>71</v>
      </c>
      <c r="AC4" s="56" t="str">
        <f>VLOOKUP(A4,[1]CPS!A3:AU187,38,FALSE)</f>
        <v>N/A</v>
      </c>
      <c r="AD4" s="55" t="str">
        <f>VLOOKUP(A4,[1]CPS!A3:AU187,39,FALSE)</f>
        <v>N/A</v>
      </c>
      <c r="AE4" s="22" t="str">
        <f>VLOOKUP(A4,[1]CPS!A3:AU187,36,FALSE)</f>
        <v>Dirección Territorial Amazonía</v>
      </c>
      <c r="AF4" s="22" t="s">
        <v>77</v>
      </c>
      <c r="AG4" s="22" t="s">
        <v>73</v>
      </c>
      <c r="AH4" s="38">
        <f>VLOOKUP(A4,[1]CPS!A3:AU187,41,FALSE)</f>
        <v>41674698</v>
      </c>
      <c r="AI4" s="22" t="str">
        <f>VLOOKUP(A4,[1]CPS!A3:AU187,29,FALSE)</f>
        <v>CLAUDIA OFELIA MANRIQUE ROA</v>
      </c>
      <c r="AJ4" s="25">
        <f>VLOOKUP(A4,[1]CPS!A3:AH187,34,FALSE)</f>
        <v>345</v>
      </c>
      <c r="AK4" s="22"/>
      <c r="AL4" s="54" t="str">
        <f>VLOOKUP(A4,[1]CPS!A3:AU187,40,FALSE)</f>
        <v>N/A</v>
      </c>
      <c r="AM4" s="41">
        <f>VLOOKUP(A4,[1]CPS!A3:AU187,44,FALSE)</f>
        <v>44574</v>
      </c>
      <c r="AN4" s="22" t="s">
        <v>78</v>
      </c>
      <c r="AO4" s="22">
        <v>0</v>
      </c>
      <c r="AP4" s="42">
        <v>0</v>
      </c>
      <c r="AQ4" s="43"/>
      <c r="AR4" s="44">
        <v>0</v>
      </c>
      <c r="AS4" s="43"/>
      <c r="AT4" s="45">
        <f>VLOOKUP(A4,[1]CPS!A3:AU187,25,FALSE)</f>
        <v>44908</v>
      </c>
      <c r="AU4" s="45">
        <f>VLOOKUP(A4,[1]CPS!A3:AU187,26,FALSE)</f>
        <v>44922</v>
      </c>
      <c r="AV4" s="23"/>
      <c r="AW4" s="22" t="s">
        <v>79</v>
      </c>
      <c r="AX4" s="22"/>
      <c r="AY4" s="22"/>
      <c r="AZ4" s="22" t="s">
        <v>79</v>
      </c>
      <c r="BA4" s="22">
        <v>0</v>
      </c>
      <c r="BB4" s="22"/>
      <c r="BC4" s="22"/>
      <c r="BD4" s="22"/>
      <c r="BE4" s="47"/>
      <c r="BF4" s="48">
        <f t="shared" si="1"/>
        <v>32338000</v>
      </c>
      <c r="BG4" s="49" t="str">
        <f>VLOOKUP(A4,[1]CPS!A3:AU187,2,FALSE)</f>
        <v>NORYLY AGUIRRE OTALORA</v>
      </c>
      <c r="BH4" s="50" t="str">
        <f>VLOOKUP(A4,[1]CPS!A3:AU187,42,FALSE)</f>
        <v>https://www.secop.gov.co/CO1ContractsManagement/Tendering/ProcurementContractEdit/View?docUniqueIdentifier=CO1.PCCNTR.3226499</v>
      </c>
      <c r="BI4" s="22" t="s">
        <v>80</v>
      </c>
      <c r="BJ4" s="22"/>
      <c r="BK4" s="51" t="str">
        <f>VLOOKUP(A4,[1]CPS!A3:AU187,33,FALSE)</f>
        <v>https://community.secop.gov.co/Public/Tendering/ContractNoticePhases/View?PPI=CO1.PPI.16704641&amp;isFromPublicArea=True&amp;isModal=False</v>
      </c>
      <c r="BL4" s="52"/>
      <c r="BM4" s="52"/>
      <c r="BN4" s="22"/>
      <c r="BO4" s="53" t="s">
        <v>81</v>
      </c>
      <c r="BP4" s="22"/>
      <c r="BQ4" s="22"/>
      <c r="BR4" s="22"/>
    </row>
    <row r="5" spans="1:70" ht="12.75" customHeight="1">
      <c r="A5" s="21">
        <v>4</v>
      </c>
      <c r="B5" s="22" t="s">
        <v>84</v>
      </c>
      <c r="C5" s="23" t="s">
        <v>68</v>
      </c>
      <c r="D5" s="24" t="str">
        <f>VLOOKUP(A5,[1]CPS!A4:AG188,3,FALSE)</f>
        <v>CD-DTAM NACION-CPS No. 004 - 2022</v>
      </c>
      <c r="E5" s="25">
        <v>4</v>
      </c>
      <c r="F5" s="22" t="str">
        <f>VLOOKUP(A5,[1]CPS!A4:AG188,4,FALSE)</f>
        <v>RAFAEL RODRIGO RODRIGUEZ SANCHEZ</v>
      </c>
      <c r="G5" s="26">
        <f>VLOOKUP(A5,[1]CPS!A4:AU188,43,FALSE)</f>
        <v>44575</v>
      </c>
      <c r="H5" s="22" t="str">
        <f>VLOOKUP(A5,[1]CPS!A4:AG188,9,FALSE)</f>
        <v>Prestar servicios profesionales en la Dirección Territorial Amazonia de Parques Nacionales Naturales de Colombia, para realizar el seguimiento a todo lo relaciona do con el Sistema de Gestión de Calidad, aplicando la Ley 1753 de 2015., Decreto 1083 de 2015, Decreto 1499 de 2017, Norma Técnica de Calidad ISO 9001:2015 aplicando la normatividad vigente y los lineamientos de la Entidad</v>
      </c>
      <c r="I5" s="27" t="s">
        <v>69</v>
      </c>
      <c r="J5" s="22" t="s">
        <v>70</v>
      </c>
      <c r="K5" s="25" t="s">
        <v>71</v>
      </c>
      <c r="L5" s="28">
        <f>VLOOKUP(A5,[1]CPS!A4:AG188,16,FALSE)</f>
        <v>2622</v>
      </c>
      <c r="M5" s="28">
        <f>VLOOKUP(A5,[1]CPS!A4:AG188,18,FALSE)</f>
        <v>3022</v>
      </c>
      <c r="N5" s="29">
        <f>VLOOKUP(A5,[1]CPS!A4:AG188,19,FALSE)</f>
        <v>44575</v>
      </c>
      <c r="O5" s="22" t="str">
        <f>VLOOKUP(A5,[1]CPS!A4:AU188,46,FALSE)</f>
        <v>FORTALECIMIENTO</v>
      </c>
      <c r="P5" s="30">
        <f>VLOOKUP(A5,[1]CPS!A4:AG188,13,FALSE)</f>
        <v>5100000</v>
      </c>
      <c r="Q5" s="31">
        <f>VLOOKUP(A5,[1]CPS!A4:AG188,12,FALSE)</f>
        <v>45730000</v>
      </c>
      <c r="R5" s="32"/>
      <c r="S5" s="22" t="s">
        <v>72</v>
      </c>
      <c r="T5" s="22" t="s">
        <v>73</v>
      </c>
      <c r="U5" s="33">
        <f>VLOOKUP(A5,[1]CPS!A4:AG188,5,FALSE)</f>
        <v>18261541</v>
      </c>
      <c r="V5" s="34" t="s">
        <v>74</v>
      </c>
      <c r="W5" s="21" t="s">
        <v>75</v>
      </c>
      <c r="X5" s="35" t="s">
        <v>71</v>
      </c>
      <c r="Y5" s="22" t="str">
        <f t="shared" si="0"/>
        <v>RAFAEL RODRIGO RODRIGUEZ SANCHEZ</v>
      </c>
      <c r="Z5" s="22" t="str">
        <f>VLOOKUP(A5,[1]CPS!A4:AU188,35,FALSE)</f>
        <v>1 PÓLIZA</v>
      </c>
      <c r="AA5" s="25" t="str">
        <f>VLOOKUP(A5,[1]CPS!A4:AU188,37,FALSE)</f>
        <v>12 SEGUROS DEL ESTADO</v>
      </c>
      <c r="AB5" s="36" t="s">
        <v>76</v>
      </c>
      <c r="AC5" s="26">
        <f>VLOOKUP(A5,[1]CPS!A4:AU188,38,FALSE)</f>
        <v>44575</v>
      </c>
      <c r="AD5" s="25" t="str">
        <f>VLOOKUP(A5,[1]CPS!A4:AU188,39,FALSE)</f>
        <v>14-44-101144311</v>
      </c>
      <c r="AE5" s="22" t="str">
        <f>VLOOKUP(A5,[1]CPS!A4:AU188,36,FALSE)</f>
        <v>Dirección Territorial Amazonía</v>
      </c>
      <c r="AF5" s="22" t="s">
        <v>77</v>
      </c>
      <c r="AG5" s="22" t="s">
        <v>73</v>
      </c>
      <c r="AH5" s="38">
        <f>VLOOKUP(A5,[1]CPS!A4:AU188,41,FALSE)</f>
        <v>91297841</v>
      </c>
      <c r="AI5" s="22" t="str">
        <f>VLOOKUP(A5,[1]CPS!A4:AU188,29,FALSE)</f>
        <v>NANCY ESPERANZA RIVERA VEGA</v>
      </c>
      <c r="AJ5" s="25">
        <f>VLOOKUP(A5,[1]CPS!A4:AH188,34,FALSE)</f>
        <v>269</v>
      </c>
      <c r="AK5" s="22"/>
      <c r="AL5" s="54">
        <f>VLOOKUP(A5,[1]CPS!A4:AU188,40,FALSE)</f>
        <v>44575</v>
      </c>
      <c r="AM5" s="41">
        <f>VLOOKUP(A5,[1]CPS!A4:AU188,44,FALSE)</f>
        <v>44575</v>
      </c>
      <c r="AN5" s="22" t="s">
        <v>78</v>
      </c>
      <c r="AO5" s="22">
        <v>0</v>
      </c>
      <c r="AP5" s="42">
        <v>0</v>
      </c>
      <c r="AQ5" s="43"/>
      <c r="AR5" s="44">
        <v>0</v>
      </c>
      <c r="AS5" s="43"/>
      <c r="AT5" s="45">
        <f>VLOOKUP(A5,[1]CPS!A4:AU188,25,FALSE)</f>
        <v>44575</v>
      </c>
      <c r="AU5" s="45">
        <f>VLOOKUP(A5,[1]CPS!A4:AU188,26,FALSE)</f>
        <v>44816</v>
      </c>
      <c r="AV5" s="23"/>
      <c r="AW5" s="22" t="s">
        <v>79</v>
      </c>
      <c r="AX5" s="22"/>
      <c r="AY5" s="22"/>
      <c r="AZ5" s="22" t="s">
        <v>79</v>
      </c>
      <c r="BA5" s="22">
        <v>0</v>
      </c>
      <c r="BB5" s="22"/>
      <c r="BC5" s="22"/>
      <c r="BD5" s="22"/>
      <c r="BE5" s="47"/>
      <c r="BF5" s="48">
        <f t="shared" si="1"/>
        <v>45730000</v>
      </c>
      <c r="BG5" s="49" t="str">
        <f>VLOOKUP(A5,[1]CPS!A4:AU188,2,FALSE)</f>
        <v>MARIA ALEJANDRA SANCHEZ RIVERA</v>
      </c>
      <c r="BH5" s="50" t="str">
        <f>VLOOKUP(A5,[1]CPS!A4:AU188,42,FALSE)</f>
        <v>https://www.secop.gov.co/CO1ContractsManagement/Tendering/ProcurementContractEdit/View?docUniqueIdentifier=CO1.PCCNTR.3232509</v>
      </c>
      <c r="BI5" s="22" t="s">
        <v>80</v>
      </c>
      <c r="BJ5" s="22"/>
      <c r="BK5" s="51" t="str">
        <f>VLOOKUP(A5,[1]CPS!A4:AU188,33,FALSE)</f>
        <v>https://community.secop.gov.co/Public/Tendering/ContractNoticePhases/View?PPI=CO1.PPI.16712960&amp;isFromPublicArea=True&amp;isModal=False</v>
      </c>
      <c r="BL5" s="52"/>
      <c r="BM5" s="52"/>
      <c r="BN5" s="22"/>
      <c r="BO5" s="53" t="s">
        <v>81</v>
      </c>
      <c r="BP5" s="22"/>
      <c r="BQ5" s="22"/>
      <c r="BR5" s="22"/>
    </row>
    <row r="6" spans="1:70" ht="12.75" customHeight="1">
      <c r="A6" s="21">
        <v>5</v>
      </c>
      <c r="B6" s="22" t="s">
        <v>85</v>
      </c>
      <c r="C6" s="23" t="s">
        <v>68</v>
      </c>
      <c r="D6" s="24" t="str">
        <f>VLOOKUP(A6,[1]CPS!A5:AG189,3,FALSE)</f>
        <v>CD-DTAM NACION-CPS No. 005 - 2022</v>
      </c>
      <c r="E6" s="25">
        <v>5</v>
      </c>
      <c r="F6" s="22" t="str">
        <f>VLOOKUP(A6,[1]CPS!A5:AG189,4,FALSE)</f>
        <v>JUAN CARLOS MUNAR FERNANDEZ</v>
      </c>
      <c r="G6" s="26">
        <f>VLOOKUP(A6,[1]CPS!A5:AU189,43,FALSE)</f>
        <v>44574</v>
      </c>
      <c r="H6" s="22" t="str">
        <f>VLOOKUP(A6,[1]CPS!A5:AG189,9,FALSE)</f>
        <v>Prestación de servicios profesionales en el área jurídica para brindar orientación y acompañamiento para el desarrollo de la gestión de las diferentes líneas temáticas de la Dirección Territorial Amazonía y sus Áreas Adscritas y la aplicación de Procesos Sancionatorios Administrativos Ambientales conforme a la normativa existente.</v>
      </c>
      <c r="I6" s="27" t="s">
        <v>69</v>
      </c>
      <c r="J6" s="22" t="s">
        <v>70</v>
      </c>
      <c r="K6" s="25" t="s">
        <v>71</v>
      </c>
      <c r="L6" s="28">
        <f>VLOOKUP(A6,[1]CPS!A5:AG189,16,FALSE)</f>
        <v>2722</v>
      </c>
      <c r="M6" s="28">
        <f>VLOOKUP(A6,[1]CPS!A5:AG189,18,FALSE)</f>
        <v>2922</v>
      </c>
      <c r="N6" s="29">
        <f>VLOOKUP(A6,[1]CPS!A5:AG189,19,FALSE)</f>
        <v>44575</v>
      </c>
      <c r="O6" s="22" t="str">
        <f>VLOOKUP(A6,[1]CPS!A5:AU189,46,FALSE)</f>
        <v>ADMINISTRACION</v>
      </c>
      <c r="P6" s="30">
        <f>VLOOKUP(A6,[1]CPS!A5:AG189,13,FALSE)</f>
        <v>5700000</v>
      </c>
      <c r="Q6" s="31">
        <f>VLOOKUP(A6,[1]CPS!A5:AG189,12,FALSE)</f>
        <v>62681219.590000004</v>
      </c>
      <c r="R6" s="32"/>
      <c r="S6" s="22" t="s">
        <v>72</v>
      </c>
      <c r="T6" s="22" t="s">
        <v>73</v>
      </c>
      <c r="U6" s="33">
        <f>VLOOKUP(A6,[1]CPS!A5:AG189,5,FALSE)</f>
        <v>79187416</v>
      </c>
      <c r="V6" s="34" t="s">
        <v>74</v>
      </c>
      <c r="W6" s="21" t="s">
        <v>75</v>
      </c>
      <c r="X6" s="35" t="s">
        <v>71</v>
      </c>
      <c r="Y6" s="22" t="str">
        <f t="shared" si="0"/>
        <v>JUAN CARLOS MUNAR FERNANDEZ</v>
      </c>
      <c r="Z6" s="22" t="str">
        <f>VLOOKUP(A6,[1]CPS!A5:AU189,35,FALSE)</f>
        <v>1 PÓLIZA</v>
      </c>
      <c r="AA6" s="25" t="str">
        <f>VLOOKUP(A6,[1]CPS!A5:AU189,37,FALSE)</f>
        <v>12 SEGUROS DEL ESTADO</v>
      </c>
      <c r="AB6" s="36" t="s">
        <v>76</v>
      </c>
      <c r="AC6" s="26">
        <f>VLOOKUP(A6,[1]CPS!A5:AU189,38,FALSE)</f>
        <v>44575</v>
      </c>
      <c r="AD6" s="25" t="str">
        <f>VLOOKUP(A6,[1]CPS!A5:AU189,39,FALSE)</f>
        <v>11-46-101024524</v>
      </c>
      <c r="AE6" s="22" t="str">
        <f>VLOOKUP(A6,[1]CPS!A5:AU189,36,FALSE)</f>
        <v>Dirección Territorial Amazonía</v>
      </c>
      <c r="AF6" s="22" t="s">
        <v>77</v>
      </c>
      <c r="AG6" s="22" t="s">
        <v>73</v>
      </c>
      <c r="AH6" s="38">
        <f>VLOOKUP(A6,[1]CPS!A5:AU189,41,FALSE)</f>
        <v>91297841</v>
      </c>
      <c r="AI6" s="22" t="str">
        <f>VLOOKUP(A6,[1]CPS!A5:AU189,29,FALSE)</f>
        <v>NANCY ESPERANZA RIVERA VEGA</v>
      </c>
      <c r="AJ6" s="25">
        <f>VLOOKUP(A6,[1]CPS!A5:AH189,34,FALSE)</f>
        <v>330</v>
      </c>
      <c r="AK6" s="22"/>
      <c r="AL6" s="54">
        <f>VLOOKUP(A6,[1]CPS!A5:AU189,40,FALSE)</f>
        <v>44575</v>
      </c>
      <c r="AM6" s="41">
        <f>VLOOKUP(A6,[1]CPS!A5:AU189,44,FALSE)</f>
        <v>44575</v>
      </c>
      <c r="AN6" s="22" t="s">
        <v>78</v>
      </c>
      <c r="AO6" s="22">
        <v>0</v>
      </c>
      <c r="AP6" s="42">
        <v>0</v>
      </c>
      <c r="AQ6" s="43"/>
      <c r="AR6" s="44">
        <v>0</v>
      </c>
      <c r="AS6" s="43"/>
      <c r="AT6" s="45">
        <f>VLOOKUP(A6,[1]CPS!A5:AU189,25,FALSE)</f>
        <v>44575</v>
      </c>
      <c r="AU6" s="45">
        <f>VLOOKUP(A6,[1]CPS!A5:AU189,26,FALSE)</f>
        <v>44909</v>
      </c>
      <c r="AV6" s="23"/>
      <c r="AW6" s="22" t="s">
        <v>79</v>
      </c>
      <c r="AX6" s="22"/>
      <c r="AY6" s="22"/>
      <c r="AZ6" s="22" t="s">
        <v>79</v>
      </c>
      <c r="BA6" s="22">
        <v>0</v>
      </c>
      <c r="BB6" s="22"/>
      <c r="BC6" s="22"/>
      <c r="BD6" s="22"/>
      <c r="BE6" s="47"/>
      <c r="BF6" s="48">
        <f t="shared" si="1"/>
        <v>62681219.590000004</v>
      </c>
      <c r="BG6" s="49" t="str">
        <f>VLOOKUP(A6,[1]CPS!A5:AU189,2,FALSE)</f>
        <v>LAURA CAROLINA CORREA RAMIREZ</v>
      </c>
      <c r="BH6" s="50" t="str">
        <f>VLOOKUP(A6,[1]CPS!A5:AU189,42,FALSE)</f>
        <v>https://www.secop.gov.co/CO1ContractsManagement/Tendering/ProcurementContractEdit/View?docUniqueIdentifier=CO1.PCCNTR.3228502</v>
      </c>
      <c r="BI6" s="22" t="s">
        <v>80</v>
      </c>
      <c r="BJ6" s="22"/>
      <c r="BK6" s="51" t="str">
        <f>VLOOKUP(A6,[1]CPS!A5:AU189,33,FALSE)</f>
        <v>https://community.secop.gov.co/Public/Tendering/OpportunityDetail/Index?noticeUID=CO1.NTC.2548923&amp;isFromPublicArea=True&amp;isModal=False</v>
      </c>
      <c r="BL6" s="52"/>
      <c r="BM6" s="52"/>
      <c r="BN6" s="22"/>
      <c r="BO6" s="53" t="s">
        <v>81</v>
      </c>
      <c r="BP6" s="22"/>
      <c r="BQ6" s="22"/>
      <c r="BR6" s="22"/>
    </row>
    <row r="7" spans="1:70" ht="12.75" customHeight="1">
      <c r="A7" s="21">
        <v>6</v>
      </c>
      <c r="B7" s="22" t="s">
        <v>86</v>
      </c>
      <c r="C7" s="23" t="s">
        <v>68</v>
      </c>
      <c r="D7" s="24" t="str">
        <f>VLOOKUP(A7,[1]CPS!A6:AG190,3,FALSE)</f>
        <v>CD-DTAM NACION-CPS No. 006 - 2022</v>
      </c>
      <c r="E7" s="25">
        <v>6</v>
      </c>
      <c r="F7" s="22" t="str">
        <f>VLOOKUP(A7,[1]CPS!A6:AG190,4,FALSE)</f>
        <v>ROSA CECILIA REINOSO SABOGAL</v>
      </c>
      <c r="G7" s="26">
        <f>VLOOKUP(A7,[1]CPS!A6:AU190,43,FALSE)</f>
        <v>44575</v>
      </c>
      <c r="H7" s="22" t="str">
        <f>VLOOKUP(A7,[1]CPS!A6:AG190,9,FALSE)</f>
        <v>Prestar Servicios Técnicos y de apoyo a la gestión para desarrollar actividades administrativas, de ejecución presupuestal, manejo de inventarios y de soporte a los mecanismos de planeación, evaluación, seguimiento y Sistema Integrado de Gestión del Parque Nacional Natural Amacayacu.</v>
      </c>
      <c r="I7" s="27" t="s">
        <v>69</v>
      </c>
      <c r="J7" s="22" t="s">
        <v>70</v>
      </c>
      <c r="K7" s="25" t="s">
        <v>71</v>
      </c>
      <c r="L7" s="28">
        <f>VLOOKUP(A7,[1]CPS!A6:AG190,16,FALSE)</f>
        <v>3722</v>
      </c>
      <c r="M7" s="28">
        <f>VLOOKUP(A7,[1]CPS!A6:AG190,18,FALSE)</f>
        <v>3422</v>
      </c>
      <c r="N7" s="29">
        <f>VLOOKUP(A7,[1]CPS!A6:AG190,19,FALSE)</f>
        <v>44578</v>
      </c>
      <c r="O7" s="22" t="str">
        <f>VLOOKUP(A7,[1]CPS!A6:AU190,46,FALSE)</f>
        <v>ADMINISTRACION</v>
      </c>
      <c r="P7" s="30">
        <f>VLOOKUP(A7,[1]CPS!A6:AG190,13,FALSE)</f>
        <v>2812000</v>
      </c>
      <c r="Q7" s="31">
        <f>VLOOKUP(A7,[1]CPS!A6:AG190,12,FALSE)</f>
        <v>30932000</v>
      </c>
      <c r="R7" s="32"/>
      <c r="S7" s="22" t="s">
        <v>72</v>
      </c>
      <c r="T7" s="22" t="s">
        <v>73</v>
      </c>
      <c r="U7" s="33">
        <f>VLOOKUP(A7,[1]CPS!A6:AG190,5,FALSE)</f>
        <v>65631263</v>
      </c>
      <c r="V7" s="34" t="s">
        <v>74</v>
      </c>
      <c r="W7" s="21" t="s">
        <v>75</v>
      </c>
      <c r="X7" s="35" t="s">
        <v>71</v>
      </c>
      <c r="Y7" s="22" t="str">
        <f t="shared" si="0"/>
        <v>ROSA CECILIA REINOSO SABOGAL</v>
      </c>
      <c r="Z7" s="22" t="str">
        <f>VLOOKUP(A7,[1]CPS!A6:AU190,35,FALSE)</f>
        <v>6 NO CONSTITUYÓ GARANTÍAS</v>
      </c>
      <c r="AA7" s="25" t="str">
        <f>VLOOKUP(A7,[1]CPS!A6:AU190,37,FALSE)</f>
        <v>N/A</v>
      </c>
      <c r="AB7" s="55" t="s">
        <v>71</v>
      </c>
      <c r="AC7" s="56" t="str">
        <f>VLOOKUP(A7,[1]CPS!A6:AU190,38,FALSE)</f>
        <v>N/A</v>
      </c>
      <c r="AD7" s="55" t="str">
        <f>VLOOKUP(A7,[1]CPS!A6:AU190,39,FALSE)</f>
        <v>N/A</v>
      </c>
      <c r="AE7" s="22" t="str">
        <f>VLOOKUP(A7,[1]CPS!A6:AU190,36,FALSE)</f>
        <v>PNN Amacayacu</v>
      </c>
      <c r="AF7" s="22" t="s">
        <v>77</v>
      </c>
      <c r="AG7" s="22" t="s">
        <v>73</v>
      </c>
      <c r="AH7" s="38">
        <f>VLOOKUP(A7,[1]CPS!A6:AU190,41,FALSE)</f>
        <v>51935320</v>
      </c>
      <c r="AI7" s="22" t="str">
        <f>VLOOKUP(A7,[1]CPS!A6:AU190,29,FALSE)</f>
        <v>ELIANA MARTINEZ RUEDA</v>
      </c>
      <c r="AJ7" s="25">
        <f>VLOOKUP(A7,[1]CPS!A6:AH190,34,FALSE)</f>
        <v>330</v>
      </c>
      <c r="AK7" s="22"/>
      <c r="AL7" s="54" t="str">
        <f>VLOOKUP(A7,[1]CPS!A6:AU190,40,FALSE)</f>
        <v>N/A</v>
      </c>
      <c r="AM7" s="41">
        <f>VLOOKUP(A7,[1]CPS!A6:AU190,44,FALSE)</f>
        <v>44578</v>
      </c>
      <c r="AN7" s="22" t="s">
        <v>78</v>
      </c>
      <c r="AO7" s="22">
        <v>0</v>
      </c>
      <c r="AP7" s="42">
        <v>0</v>
      </c>
      <c r="AQ7" s="43"/>
      <c r="AR7" s="44">
        <v>0</v>
      </c>
      <c r="AS7" s="43"/>
      <c r="AT7" s="45">
        <f>VLOOKUP(A7,[1]CPS!A6:AU190,25,FALSE)</f>
        <v>44578</v>
      </c>
      <c r="AU7" s="45">
        <f>VLOOKUP(A7,[1]CPS!A6:AU190,26,FALSE)</f>
        <v>44912</v>
      </c>
      <c r="AV7" s="23"/>
      <c r="AW7" s="22" t="s">
        <v>79</v>
      </c>
      <c r="AX7" s="22"/>
      <c r="AY7" s="22"/>
      <c r="AZ7" s="22" t="s">
        <v>79</v>
      </c>
      <c r="BA7" s="22">
        <v>0</v>
      </c>
      <c r="BB7" s="22"/>
      <c r="BC7" s="22"/>
      <c r="BD7" s="22"/>
      <c r="BE7" s="47"/>
      <c r="BF7" s="48">
        <f t="shared" si="1"/>
        <v>30932000</v>
      </c>
      <c r="BG7" s="49" t="str">
        <f>VLOOKUP(A7,[1]CPS!A6:AU190,2,FALSE)</f>
        <v>LAURA CAROLINA CORREA RAMIREZ</v>
      </c>
      <c r="BH7" s="50" t="str">
        <f>VLOOKUP(A7,[1]CPS!A6:AU190,42,FALSE)</f>
        <v>https://www.secop.gov.co/CO1ContractsManagement/Tendering/ProcurementContractEdit/View?docUniqueIdentifier=CO1.PCCNTR.3238786</v>
      </c>
      <c r="BI7" s="22" t="s">
        <v>80</v>
      </c>
      <c r="BJ7" s="22"/>
      <c r="BK7" s="51" t="str">
        <f>VLOOKUP(A7,[1]CPS!A6:AU190,33,FALSE)</f>
        <v>https://community.secop.gov.co/Public/Tendering/OpportunityDetail/Index?noticeUID=CO1.NTC.2558284&amp;isFromPublicArea=True&amp;isModal=False</v>
      </c>
      <c r="BL7" s="52"/>
      <c r="BM7" s="52"/>
      <c r="BN7" s="22"/>
      <c r="BO7" s="53" t="s">
        <v>81</v>
      </c>
      <c r="BP7" s="22"/>
      <c r="BQ7" s="22"/>
      <c r="BR7" s="22"/>
    </row>
    <row r="8" spans="1:70" ht="12.75" customHeight="1">
      <c r="A8" s="21">
        <v>7</v>
      </c>
      <c r="B8" s="22" t="s">
        <v>87</v>
      </c>
      <c r="C8" s="23" t="s">
        <v>68</v>
      </c>
      <c r="D8" s="24" t="str">
        <f>VLOOKUP(A8,[1]CPS!A7:AG191,3,FALSE)</f>
        <v>CD-DTAM NACION-CPS No. 007 - 2022</v>
      </c>
      <c r="E8" s="25">
        <v>7</v>
      </c>
      <c r="F8" s="22" t="str">
        <f>VLOOKUP(A8,[1]CPS!A7:AG191,4,FALSE)</f>
        <v>DIANA MAGALI ZAPATA GIL</v>
      </c>
      <c r="G8" s="26">
        <f>VLOOKUP(A8,[1]CPS!A7:AU191,43,FALSE)</f>
        <v>44575</v>
      </c>
      <c r="H8" s="22" t="str">
        <f>VLOOKUP(A8,[1]CPS!A7:AG191,9,FALSE)</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v>
      </c>
      <c r="I8" s="27" t="s">
        <v>69</v>
      </c>
      <c r="J8" s="22" t="s">
        <v>70</v>
      </c>
      <c r="K8" s="25" t="s">
        <v>71</v>
      </c>
      <c r="L8" s="28">
        <f>VLOOKUP(A8,[1]CPS!A7:AG191,16,FALSE)</f>
        <v>3622</v>
      </c>
      <c r="M8" s="28">
        <f>VLOOKUP(A8,[1]CPS!A7:AG191,18,FALSE)</f>
        <v>3122</v>
      </c>
      <c r="N8" s="29">
        <f>VLOOKUP(A8,[1]CPS!A7:AG191,19,FALSE)</f>
        <v>44575</v>
      </c>
      <c r="O8" s="22" t="str">
        <f>VLOOKUP(A8,[1]CPS!A7:AU191,46,FALSE)</f>
        <v>FORTALECIMIENTO</v>
      </c>
      <c r="P8" s="30">
        <f>VLOOKUP(A8,[1]CPS!A7:AG191,13,FALSE)</f>
        <v>2812000</v>
      </c>
      <c r="Q8" s="31">
        <f>VLOOKUP(A8,[1]CPS!A7:AG191,12,FALSE)</f>
        <v>30932000</v>
      </c>
      <c r="R8" s="32"/>
      <c r="S8" s="22" t="s">
        <v>72</v>
      </c>
      <c r="T8" s="22" t="s">
        <v>73</v>
      </c>
      <c r="U8" s="33">
        <f>VLOOKUP(A8,[1]CPS!A7:AG191,5,FALSE)</f>
        <v>41058861</v>
      </c>
      <c r="V8" s="34" t="s">
        <v>74</v>
      </c>
      <c r="W8" s="21" t="s">
        <v>75</v>
      </c>
      <c r="X8" s="35" t="s">
        <v>71</v>
      </c>
      <c r="Y8" s="22" t="str">
        <f t="shared" si="0"/>
        <v>DIANA MAGALI ZAPATA GIL</v>
      </c>
      <c r="Z8" s="22" t="str">
        <f>VLOOKUP(A8,[1]CPS!A7:AU191,35,FALSE)</f>
        <v>6 NO CONSTITUYÓ GARANTÍAS</v>
      </c>
      <c r="AA8" s="25" t="str">
        <f>VLOOKUP(A8,[1]CPS!A7:AU191,37,FALSE)</f>
        <v>N/A</v>
      </c>
      <c r="AB8" s="55" t="s">
        <v>71</v>
      </c>
      <c r="AC8" s="56" t="str">
        <f>VLOOKUP(A8,[1]CPS!A7:AU191,38,FALSE)</f>
        <v>N/A</v>
      </c>
      <c r="AD8" s="55" t="str">
        <f>VLOOKUP(A8,[1]CPS!A7:AU191,39,FALSE)</f>
        <v>N/A</v>
      </c>
      <c r="AE8" s="22" t="str">
        <f>VLOOKUP(A8,[1]CPS!A7:AU191,36,FALSE)</f>
        <v>PNN Río Puré</v>
      </c>
      <c r="AF8" s="22" t="s">
        <v>77</v>
      </c>
      <c r="AG8" s="22" t="s">
        <v>73</v>
      </c>
      <c r="AH8" s="38">
        <f>VLOOKUP(A8,[1]CPS!A7:AU191,41,FALSE)</f>
        <v>79672176</v>
      </c>
      <c r="AI8" s="22" t="str">
        <f>VLOOKUP(A8,[1]CPS!A7:AU191,29,FALSE)</f>
        <v>ALEXANDER ALFONSO SEGURA</v>
      </c>
      <c r="AJ8" s="25">
        <f>VLOOKUP(A8,[1]CPS!A7:AH191,34,FALSE)</f>
        <v>330</v>
      </c>
      <c r="AK8" s="22"/>
      <c r="AL8" s="54" t="str">
        <f>VLOOKUP(A8,[1]CPS!A7:AU191,40,FALSE)</f>
        <v>N/A</v>
      </c>
      <c r="AM8" s="41">
        <f>VLOOKUP(A8,[1]CPS!A7:AU191,44,FALSE)</f>
        <v>44575</v>
      </c>
      <c r="AN8" s="22" t="s">
        <v>78</v>
      </c>
      <c r="AO8" s="22">
        <v>0</v>
      </c>
      <c r="AP8" s="42">
        <v>0</v>
      </c>
      <c r="AQ8" s="43"/>
      <c r="AR8" s="44">
        <v>0</v>
      </c>
      <c r="AS8" s="43"/>
      <c r="AT8" s="45">
        <f>VLOOKUP(A8,[1]CPS!A7:AU191,25,FALSE)</f>
        <v>44575</v>
      </c>
      <c r="AU8" s="45">
        <f>VLOOKUP(A8,[1]CPS!A7:AU191,26,FALSE)</f>
        <v>44908</v>
      </c>
      <c r="AV8" s="46"/>
      <c r="AW8" s="22" t="s">
        <v>79</v>
      </c>
      <c r="AX8" s="22"/>
      <c r="AY8" s="22"/>
      <c r="AZ8" s="22" t="s">
        <v>79</v>
      </c>
      <c r="BA8" s="22">
        <v>0</v>
      </c>
      <c r="BB8" s="22"/>
      <c r="BC8" s="22"/>
      <c r="BD8" s="22"/>
      <c r="BE8" s="47"/>
      <c r="BF8" s="48">
        <f t="shared" si="1"/>
        <v>30932000</v>
      </c>
      <c r="BG8" s="49" t="str">
        <f>VLOOKUP(A8,[1]CPS!A7:AU191,2,FALSE)</f>
        <v>NORYLY AGUIRRE OTALORA</v>
      </c>
      <c r="BH8" s="50" t="str">
        <f>VLOOKUP(A8,[1]CPS!A7:AU191,42,FALSE)</f>
        <v>https://www.secop.gov.co/CO1ContractsManagement/Tendering/ProcurementContractEdit/View?docUniqueIdentifier=CO1.PCCNTR.323566</v>
      </c>
      <c r="BI8" s="22" t="s">
        <v>80</v>
      </c>
      <c r="BJ8" s="22"/>
      <c r="BK8" s="51" t="str">
        <f>VLOOKUP(A8,[1]CPS!A7:AU191,33,FALSE)</f>
        <v>https://community.secop.gov.co/Public/Tendering/ContractNoticePhases/View?PPI=CO1.PPI.16724336&amp;isFromPublicArea=True&amp;isModal=False</v>
      </c>
      <c r="BL8" s="52"/>
      <c r="BM8" s="52"/>
      <c r="BN8" s="22"/>
      <c r="BO8" s="53" t="s">
        <v>81</v>
      </c>
      <c r="BP8" s="22"/>
      <c r="BQ8" s="22"/>
      <c r="BR8" s="22"/>
    </row>
    <row r="9" spans="1:70" ht="12.75" customHeight="1">
      <c r="A9" s="21">
        <v>8</v>
      </c>
      <c r="B9" s="22" t="s">
        <v>88</v>
      </c>
      <c r="C9" s="23" t="s">
        <v>68</v>
      </c>
      <c r="D9" s="24" t="str">
        <f>VLOOKUP(A9,[1]CPS!A8:AG192,3,FALSE)</f>
        <v>CD-DTAM NACION-CPS No. 008 - 2022</v>
      </c>
      <c r="E9" s="25">
        <v>8</v>
      </c>
      <c r="F9" s="22" t="str">
        <f>VLOOKUP(A9,[1]CPS!A8:AG192,4,FALSE)</f>
        <v>LUZ MARINA  VELANDIA VARGAS</v>
      </c>
      <c r="G9" s="26">
        <f>VLOOKUP(A9,[1]CPS!A8:AU192,43,FALSE)</f>
        <v>44578</v>
      </c>
      <c r="H9" s="22" t="str">
        <f>VLOOKUP(A9,[1]CPS!A8:AG192,9,FALSE)</f>
        <v>Prestación de servicios operativos y de apoyo a la gestión, para desarrollar las actividades enmarcadas dentro de los procesos de apoyo de Parques Nacionales Naturales, específicamente para la RNN Nukak, y el PNN Serranía de Chiribiquete de la Dirección Territorial Amazonia.</v>
      </c>
      <c r="I9" s="27" t="s">
        <v>69</v>
      </c>
      <c r="J9" s="22" t="s">
        <v>70</v>
      </c>
      <c r="K9" s="25" t="s">
        <v>71</v>
      </c>
      <c r="L9" s="28">
        <f>VLOOKUP(A9,[1]CPS!A8:AG192,16,FALSE)</f>
        <v>3922</v>
      </c>
      <c r="M9" s="28">
        <f>VLOOKUP(A9,[1]CPS!A8:AG192,18,FALSE)</f>
        <v>4022</v>
      </c>
      <c r="N9" s="29">
        <f>VLOOKUP(A9,[1]CPS!A8:AG192,19,FALSE)</f>
        <v>44579</v>
      </c>
      <c r="O9" s="22" t="str">
        <f>VLOOKUP(A9,[1]CPS!A8:AU192,46,FALSE)</f>
        <v>FORTALECIMIENTO</v>
      </c>
      <c r="P9" s="30">
        <f>VLOOKUP(A9,[1]CPS!A8:AG192,13,FALSE)</f>
        <v>1412000</v>
      </c>
      <c r="Q9" s="31">
        <f>VLOOKUP(A9,[1]CPS!A8:AG192,12,FALSE)</f>
        <v>15532000</v>
      </c>
      <c r="R9" s="32"/>
      <c r="S9" s="22" t="s">
        <v>72</v>
      </c>
      <c r="T9" s="22" t="s">
        <v>73</v>
      </c>
      <c r="U9" s="33">
        <f>VLOOKUP(A9,[1]CPS!A8:AG192,5,FALSE)</f>
        <v>41214147</v>
      </c>
      <c r="V9" s="34" t="s">
        <v>74</v>
      </c>
      <c r="W9" s="21" t="s">
        <v>75</v>
      </c>
      <c r="X9" s="35" t="s">
        <v>71</v>
      </c>
      <c r="Y9" s="22" t="str">
        <f t="shared" si="0"/>
        <v>LUZ MARINA  VELANDIA VARGAS</v>
      </c>
      <c r="Z9" s="22" t="str">
        <f>VLOOKUP(A9,[1]CPS!A8:AU192,35,FALSE)</f>
        <v>6 NO CONSTITUYÓ GARANTÍAS</v>
      </c>
      <c r="AA9" s="25" t="str">
        <f>VLOOKUP(A9,[1]CPS!A8:AU192,37,FALSE)</f>
        <v>N/A</v>
      </c>
      <c r="AB9" s="55" t="s">
        <v>71</v>
      </c>
      <c r="AC9" s="56" t="str">
        <f>VLOOKUP(A9,[1]CPS!A8:AU192,38,FALSE)</f>
        <v>N/A</v>
      </c>
      <c r="AD9" s="55" t="str">
        <f>VLOOKUP(A9,[1]CPS!A8:AU192,39,FALSE)</f>
        <v>N/A</v>
      </c>
      <c r="AE9" s="22" t="str">
        <f>VLOOKUP(A9,[1]CPS!A8:AU192,36,FALSE)</f>
        <v>RNN Nukak</v>
      </c>
      <c r="AF9" s="22" t="s">
        <v>77</v>
      </c>
      <c r="AG9" s="22" t="s">
        <v>73</v>
      </c>
      <c r="AH9" s="38">
        <f>VLOOKUP(A9,[1]CPS!A8:AU192,41,FALSE)</f>
        <v>86014797</v>
      </c>
      <c r="AI9" s="22" t="str">
        <f>VLOOKUP(A9,[1]CPS!A8:AU192,29,FALSE)</f>
        <v>VICTOR SETINA</v>
      </c>
      <c r="AJ9" s="25">
        <f>VLOOKUP(A9,[1]CPS!A8:AH192,34,FALSE)</f>
        <v>330</v>
      </c>
      <c r="AK9" s="22"/>
      <c r="AL9" s="54" t="str">
        <f>VLOOKUP(A9,[1]CPS!A8:AU192,40,FALSE)</f>
        <v>N/A</v>
      </c>
      <c r="AM9" s="41">
        <f>VLOOKUP(A9,[1]CPS!A8:AU192,44,FALSE)</f>
        <v>44579</v>
      </c>
      <c r="AN9" s="22" t="s">
        <v>78</v>
      </c>
      <c r="AO9" s="22">
        <v>0</v>
      </c>
      <c r="AP9" s="42">
        <v>0</v>
      </c>
      <c r="AQ9" s="43"/>
      <c r="AR9" s="44">
        <v>0</v>
      </c>
      <c r="AS9" s="43"/>
      <c r="AT9" s="45">
        <f>VLOOKUP(A9,[1]CPS!A8:AU192,25,FALSE)</f>
        <v>44578</v>
      </c>
      <c r="AU9" s="45">
        <f>VLOOKUP(A9,[1]CPS!A8:AU192,26,FALSE)</f>
        <v>44912</v>
      </c>
      <c r="AV9" s="46"/>
      <c r="AW9" s="22" t="s">
        <v>79</v>
      </c>
      <c r="AX9" s="22"/>
      <c r="AY9" s="22"/>
      <c r="AZ9" s="22" t="s">
        <v>79</v>
      </c>
      <c r="BA9" s="22">
        <v>0</v>
      </c>
      <c r="BB9" s="22"/>
      <c r="BC9" s="22"/>
      <c r="BD9" s="22"/>
      <c r="BE9" s="47"/>
      <c r="BF9" s="48">
        <f t="shared" si="1"/>
        <v>15532000</v>
      </c>
      <c r="BG9" s="49" t="str">
        <f>VLOOKUP(A9,[1]CPS!A8:AU192,2,FALSE)</f>
        <v>MARIA ALEJANDRA SANCHEZ RIVERA</v>
      </c>
      <c r="BH9" s="50" t="str">
        <f>VLOOKUP(A9,[1]CPS!A8:AU192,42,FALSE)</f>
        <v>https://www.secop.gov.co/CO1ContractsManagement/Tendering/ProcurementContractEdit/View?docUniqueIdentifier=CO1.PCCNTR.3274620</v>
      </c>
      <c r="BI9" s="22" t="s">
        <v>80</v>
      </c>
      <c r="BJ9" s="22"/>
      <c r="BK9" s="51" t="str">
        <f>VLOOKUP(A9,[1]CPS!A8:AU192,33,FALSE)</f>
        <v>https://community.secop.gov.co/Public/Tendering/ContractNoticePhases/View?PPI=CO1.PPI.16768204&amp;isFromPublicArea=True&amp;isModal=False</v>
      </c>
      <c r="BL9" s="52"/>
      <c r="BM9" s="52"/>
      <c r="BN9" s="22"/>
      <c r="BO9" s="53" t="s">
        <v>81</v>
      </c>
      <c r="BP9" s="22"/>
      <c r="BQ9" s="22"/>
      <c r="BR9" s="22"/>
    </row>
    <row r="10" spans="1:70" ht="12.75" customHeight="1">
      <c r="A10" s="21">
        <v>9</v>
      </c>
      <c r="B10" s="22" t="s">
        <v>89</v>
      </c>
      <c r="C10" s="23" t="s">
        <v>68</v>
      </c>
      <c r="D10" s="24" t="str">
        <f>VLOOKUP(A10,[1]CPS!A9:AG193,3,FALSE)</f>
        <v>CD-DTAM NACION-CPS No. 009 - 2022</v>
      </c>
      <c r="E10" s="25">
        <v>9</v>
      </c>
      <c r="F10" s="22" t="str">
        <f>VLOOKUP(A10,[1]CPS!A9:AG193,4,FALSE)</f>
        <v>ALEJANDRO DELGADO LOZANO</v>
      </c>
      <c r="G10" s="26">
        <f>VLOOKUP(A10,[1]CPS!A9:AU193,43,FALSE)</f>
        <v>44576</v>
      </c>
      <c r="H10" s="22" t="str">
        <f>VLOOKUP(A10,[1]CPS!A9:AG193,9,FALSE)</f>
        <v>Prestación de servicios profesionales Jurídicos en temas administrativos y contractuales en las etapas precontractual, contractual y poscontractual a través de las plataformas dispuestas por el Gobierno Nacional de la Dirección Territorial Amazonia de Parques Nacionales Naturales de Colombia</v>
      </c>
      <c r="I10" s="27" t="s">
        <v>69</v>
      </c>
      <c r="J10" s="22" t="s">
        <v>70</v>
      </c>
      <c r="K10" s="25" t="s">
        <v>71</v>
      </c>
      <c r="L10" s="28">
        <f>VLOOKUP(A10,[1]CPS!A9:AG193,16,FALSE)</f>
        <v>4622</v>
      </c>
      <c r="M10" s="28">
        <f>VLOOKUP(A10,[1]CPS!A9:AG193,18,FALSE)</f>
        <v>3222</v>
      </c>
      <c r="N10" s="29">
        <f>VLOOKUP(A10,[1]CPS!A9:AG193,19,FALSE)</f>
        <v>44576</v>
      </c>
      <c r="O10" s="22" t="str">
        <f>VLOOKUP(A10,[1]CPS!A9:AU193,46,FALSE)</f>
        <v>FORTALECIMIENTO</v>
      </c>
      <c r="P10" s="30">
        <f>VLOOKUP(A10,[1]CPS!A9:AG193,13,FALSE)</f>
        <v>5700000</v>
      </c>
      <c r="Q10" s="31">
        <f>VLOOKUP(A10,[1]CPS!A9:AG193,12,FALSE)</f>
        <v>62700000</v>
      </c>
      <c r="R10" s="32"/>
      <c r="S10" s="22" t="s">
        <v>72</v>
      </c>
      <c r="T10" s="22" t="s">
        <v>73</v>
      </c>
      <c r="U10" s="33">
        <f>VLOOKUP(A10,[1]CPS!A9:AG193,5,FALSE)</f>
        <v>1018419668</v>
      </c>
      <c r="V10" s="34" t="s">
        <v>74</v>
      </c>
      <c r="W10" s="21" t="s">
        <v>75</v>
      </c>
      <c r="X10" s="35" t="s">
        <v>71</v>
      </c>
      <c r="Y10" s="22" t="str">
        <f t="shared" si="0"/>
        <v>ALEJANDRO DELGADO LOZANO</v>
      </c>
      <c r="Z10" s="22" t="str">
        <f>VLOOKUP(A10,[1]CPS!A9:AU193,35,FALSE)</f>
        <v>1 PÓLIZA</v>
      </c>
      <c r="AA10" s="25" t="str">
        <f>VLOOKUP(A10,[1]CPS!A9:AU193,37,FALSE)</f>
        <v>8 MUNDIAL SEGUROS</v>
      </c>
      <c r="AB10" s="36" t="s">
        <v>76</v>
      </c>
      <c r="AC10" s="26">
        <f>VLOOKUP(A10,[1]CPS!A9:AU193,38,FALSE)</f>
        <v>44576</v>
      </c>
      <c r="AD10" s="25" t="str">
        <f>VLOOKUP(A10,[1]CPS!A9:AU193,39,FALSE)</f>
        <v>CSC-100010017</v>
      </c>
      <c r="AE10" s="22" t="str">
        <f>VLOOKUP(A10,[1]CPS!A9:AU193,36,FALSE)</f>
        <v>Dirección Territorial Amazonía</v>
      </c>
      <c r="AF10" s="22" t="s">
        <v>77</v>
      </c>
      <c r="AG10" s="22" t="s">
        <v>73</v>
      </c>
      <c r="AH10" s="38">
        <f>VLOOKUP(A10,[1]CPS!A9:AU193,41,FALSE)</f>
        <v>24344682</v>
      </c>
      <c r="AI10" s="22" t="str">
        <f>VLOOKUP(A10,[1]CPS!A9:AU193,29,FALSE)</f>
        <v>DIANA CAROLINA GOMEZ RODRIGUEZ</v>
      </c>
      <c r="AJ10" s="25">
        <f>VLOOKUP(A10,[1]CPS!A9:AH193,34,FALSE)</f>
        <v>330</v>
      </c>
      <c r="AK10" s="22"/>
      <c r="AL10" s="54">
        <f>VLOOKUP(A10,[1]CPS!A9:AU193,40,FALSE)</f>
        <v>44576</v>
      </c>
      <c r="AM10" s="57">
        <f>VLOOKUP(A10,[1]CPS!A9:AU193,44,FALSE)</f>
        <v>44607</v>
      </c>
      <c r="AN10" s="22" t="s">
        <v>78</v>
      </c>
      <c r="AO10" s="22">
        <v>0</v>
      </c>
      <c r="AP10" s="42">
        <v>0</v>
      </c>
      <c r="AQ10" s="43"/>
      <c r="AR10" s="44">
        <v>0</v>
      </c>
      <c r="AS10" s="43"/>
      <c r="AT10" s="45">
        <f>VLOOKUP(A10,[1]CPS!A9:AU193,25,FALSE)</f>
        <v>44576</v>
      </c>
      <c r="AU10" s="45">
        <f>VLOOKUP(A10,[1]CPS!A9:AU193,26,FALSE)</f>
        <v>44909</v>
      </c>
      <c r="AV10" s="46"/>
      <c r="AW10" s="22" t="s">
        <v>79</v>
      </c>
      <c r="AX10" s="22"/>
      <c r="AY10" s="22"/>
      <c r="AZ10" s="22" t="s">
        <v>79</v>
      </c>
      <c r="BA10" s="22">
        <v>0</v>
      </c>
      <c r="BB10" s="22"/>
      <c r="BC10" s="22"/>
      <c r="BD10" s="22"/>
      <c r="BE10" s="47"/>
      <c r="BF10" s="48">
        <f t="shared" si="1"/>
        <v>62700000</v>
      </c>
      <c r="BG10" s="49" t="str">
        <f>VLOOKUP(A10,[1]CPS!A9:AU193,2,FALSE)</f>
        <v>NORYLY AGUIRRE OTALORA</v>
      </c>
      <c r="BH10" s="50" t="str">
        <f>VLOOKUP(A10,[1]CPS!A9:AU193,42,FALSE)</f>
        <v>https://www.secop.gov.co/CO1ContractsManagement/Tendering/ProcurementContractEdit/View?docUniqueIdentifier=CO1.PCCNTR.3249340</v>
      </c>
      <c r="BI10" s="22" t="s">
        <v>80</v>
      </c>
      <c r="BJ10" s="22"/>
      <c r="BK10" s="51" t="str">
        <f>VLOOKUP(A10,[1]CPS!A9:AU193,33,FALSE)</f>
        <v>https://community.secop.gov.co/Public/Tendering/ContractNoticePhases/View?PPI=CO1.PPI.16747601&amp;isFromPublicArea=True&amp;isModal=False</v>
      </c>
      <c r="BL10" s="52"/>
      <c r="BM10" s="52"/>
      <c r="BN10" s="22"/>
      <c r="BO10" s="53" t="s">
        <v>81</v>
      </c>
      <c r="BP10" s="22"/>
      <c r="BQ10" s="22"/>
      <c r="BR10" s="22"/>
    </row>
    <row r="11" spans="1:70" ht="12.75" customHeight="1">
      <c r="A11" s="21">
        <v>10</v>
      </c>
      <c r="B11" s="22" t="s">
        <v>90</v>
      </c>
      <c r="C11" s="23" t="s">
        <v>68</v>
      </c>
      <c r="D11" s="24" t="str">
        <f>VLOOKUP(A11,[1]CPS!A10:AG194,3,FALSE)</f>
        <v>CD-DTAM NACION-CPS No. 010 - 2022</v>
      </c>
      <c r="E11" s="25">
        <v>10</v>
      </c>
      <c r="F11" s="22" t="str">
        <f>VLOOKUP(A11,[1]CPS!A10:AG194,4,FALSE)</f>
        <v>INGRID ELIZABETH ÁLVAREZ BARRERO</v>
      </c>
      <c r="G11" s="26">
        <f>VLOOKUP(A11,[1]CPS!A10:AU194,43,FALSE)</f>
        <v>44579</v>
      </c>
      <c r="H11" s="22" t="str">
        <f>VLOOKUP(A11,[1]CPS!A10:AG194,9,FALSE)</f>
        <v>Prestación de servicios profesionales y de apoyo a la construcción del modelo de gestión y de relacionamiento en el marco de la denominación de Patrimonio Mixto de la Humanidad del Parque Nacional Natural Serranía de Chiribiquete.</v>
      </c>
      <c r="I11" s="27" t="s">
        <v>69</v>
      </c>
      <c r="J11" s="22" t="s">
        <v>70</v>
      </c>
      <c r="K11" s="25" t="s">
        <v>71</v>
      </c>
      <c r="L11" s="28">
        <f>VLOOKUP(A11,[1]CPS!A10:AG194,16,FALSE)</f>
        <v>7622</v>
      </c>
      <c r="M11" s="28">
        <f>VLOOKUP(A11,[1]CPS!A10:AG194,18,FALSE)</f>
        <v>4422</v>
      </c>
      <c r="N11" s="29">
        <f>VLOOKUP(A11,[1]CPS!A10:AG194,19,FALSE)</f>
        <v>44580</v>
      </c>
      <c r="O11" s="22" t="str">
        <f>VLOOKUP(A11,[1]CPS!A10:AU194,46,FALSE)</f>
        <v>ADMINISTRACION</v>
      </c>
      <c r="P11" s="30">
        <f>VLOOKUP(A11,[1]CPS!A10:AG194,13,FALSE)</f>
        <v>5100000</v>
      </c>
      <c r="Q11" s="31">
        <f>VLOOKUP(A11,[1]CPS!A10:AG194,12,FALSE)</f>
        <v>55930000</v>
      </c>
      <c r="R11" s="32"/>
      <c r="S11" s="22" t="s">
        <v>72</v>
      </c>
      <c r="T11" s="22" t="s">
        <v>73</v>
      </c>
      <c r="U11" s="33">
        <f>VLOOKUP(A11,[1]CPS!A10:AG194,5,FALSE)</f>
        <v>53037983</v>
      </c>
      <c r="V11" s="34" t="s">
        <v>74</v>
      </c>
      <c r="W11" s="21" t="s">
        <v>75</v>
      </c>
      <c r="X11" s="35" t="s">
        <v>71</v>
      </c>
      <c r="Y11" s="22" t="str">
        <f t="shared" si="0"/>
        <v>INGRID ELIZABETH ÁLVAREZ BARRERO</v>
      </c>
      <c r="Z11" s="22" t="str">
        <f>VLOOKUP(A11,[1]CPS!A10:AU194,35,FALSE)</f>
        <v>1 PÓLIZA</v>
      </c>
      <c r="AA11" s="25" t="str">
        <f>VLOOKUP(A11,[1]CPS!A10:AU194,37,FALSE)</f>
        <v>12 SEGUROS DEL ESTADO</v>
      </c>
      <c r="AB11" s="36" t="s">
        <v>76</v>
      </c>
      <c r="AC11" s="26">
        <f>VLOOKUP(A11,[1]CPS!A10:AU194,38,FALSE)</f>
        <v>44581</v>
      </c>
      <c r="AD11" s="25" t="str">
        <f>VLOOKUP(A11,[1]CPS!A10:AU194,39,FALSE)</f>
        <v>14-44-101145433</v>
      </c>
      <c r="AE11" s="22" t="str">
        <f>VLOOKUP(A11,[1]CPS!A10:AU194,36,FALSE)</f>
        <v>PNN Serranía de Chiribiquete</v>
      </c>
      <c r="AF11" s="22" t="s">
        <v>77</v>
      </c>
      <c r="AG11" s="22" t="s">
        <v>73</v>
      </c>
      <c r="AH11" s="38">
        <f>VLOOKUP(A11,[1]CPS!A10:AU194,41,FALSE)</f>
        <v>51665707</v>
      </c>
      <c r="AI11" s="22" t="str">
        <f>VLOOKUP(A11,[1]CPS!A10:AU194,29,FALSE)</f>
        <v xml:space="preserve">AYDA CRISTINA GARZON </v>
      </c>
      <c r="AJ11" s="25">
        <f>VLOOKUP(A11,[1]CPS!A10:AH194,34,FALSE)</f>
        <v>329</v>
      </c>
      <c r="AK11" s="22"/>
      <c r="AL11" s="54">
        <f>VLOOKUP(A11,[1]CPS!A10:AU194,40,FALSE)</f>
        <v>44581</v>
      </c>
      <c r="AM11" s="41">
        <f>VLOOKUP(A11,[1]CPS!A10:AU194,44,FALSE)</f>
        <v>44581</v>
      </c>
      <c r="AN11" s="22" t="s">
        <v>78</v>
      </c>
      <c r="AO11" s="22">
        <v>0</v>
      </c>
      <c r="AP11" s="42">
        <v>0</v>
      </c>
      <c r="AQ11" s="43"/>
      <c r="AR11" s="44">
        <v>0</v>
      </c>
      <c r="AS11" s="43"/>
      <c r="AT11" s="45">
        <f>VLOOKUP(A11,[1]CPS!A10:AU194,25,FALSE)</f>
        <v>44582</v>
      </c>
      <c r="AU11" s="45">
        <f>VLOOKUP(A11,[1]CPS!A10:AU194,26,FALSE)</f>
        <v>44914</v>
      </c>
      <c r="AV11" s="46"/>
      <c r="AW11" s="22" t="s">
        <v>79</v>
      </c>
      <c r="AX11" s="22"/>
      <c r="AY11" s="22"/>
      <c r="AZ11" s="22" t="s">
        <v>79</v>
      </c>
      <c r="BA11" s="22">
        <v>0</v>
      </c>
      <c r="BB11" s="22"/>
      <c r="BC11" s="22"/>
      <c r="BD11" s="22"/>
      <c r="BE11" s="47"/>
      <c r="BF11" s="48">
        <f t="shared" si="1"/>
        <v>55930000</v>
      </c>
      <c r="BG11" s="49" t="str">
        <f>VLOOKUP(A11,[1]CPS!A10:AU194,2,FALSE)</f>
        <v>ALEJANDRO DELGADO LOZANO</v>
      </c>
      <c r="BH11" s="50" t="str">
        <f>VLOOKUP(A11,[1]CPS!A10:AU194,42,FALSE)</f>
        <v>https://www.secop.gov.co/CO1ContractsManagement/Tendering/ProcurementContractEdit/View?docUniqueIdentifier=CO1.PCCNTR.3282825</v>
      </c>
      <c r="BI11" s="22" t="s">
        <v>80</v>
      </c>
      <c r="BJ11" s="22"/>
      <c r="BK11" s="51" t="str">
        <f>VLOOKUP(A11,[1]CPS!A10:AU194,33,FALSE)</f>
        <v>https://community.secop.gov.co/Public/Tendering/OpportunityDetail/Index?noticeUID=CO1.NTC.2580318&amp;isFromPublicArea=True&amp;isModal=False</v>
      </c>
      <c r="BL11" s="52"/>
      <c r="BM11" s="52"/>
      <c r="BN11" s="22"/>
      <c r="BO11" s="53" t="s">
        <v>81</v>
      </c>
      <c r="BP11" s="22"/>
      <c r="BQ11" s="22"/>
      <c r="BR11" s="22"/>
    </row>
    <row r="12" spans="1:70" ht="12.75" customHeight="1">
      <c r="A12" s="21">
        <v>11</v>
      </c>
      <c r="B12" s="22" t="s">
        <v>91</v>
      </c>
      <c r="C12" s="23" t="s">
        <v>68</v>
      </c>
      <c r="D12" s="24" t="str">
        <f>VLOOKUP(A12,[1]CPS!A11:AG195,3,FALSE)</f>
        <v>CD-DTAM NACION-CPS No. 011 - 2022</v>
      </c>
      <c r="E12" s="25">
        <v>11</v>
      </c>
      <c r="F12" s="22" t="str">
        <f>VLOOKUP(A12,[1]CPS!A11:AG195,4,FALSE)</f>
        <v>LUIS EDUARDO CIRO BERMÚDEZ</v>
      </c>
      <c r="G12" s="26">
        <f>VLOOKUP(A12,[1]CPS!A11:AU195,43,FALSE)</f>
        <v>44579</v>
      </c>
      <c r="H12" s="22" t="str">
        <f>VLOOKUP(A12,[1]CPS!A11:AG195,9,FALSE)</f>
        <v>Prestación de servicios técnicos y de apoyo a la gestión para implementar y coordinar acciones de restauración, sistemas sostenibles y control y vigilancia que aporten a la disminución de presiones y amenazas hacia el Parque Nacional Natural Serranía de Chiribiquete.</v>
      </c>
      <c r="I12" s="27" t="s">
        <v>69</v>
      </c>
      <c r="J12" s="22" t="s">
        <v>70</v>
      </c>
      <c r="K12" s="25" t="s">
        <v>71</v>
      </c>
      <c r="L12" s="28">
        <f>VLOOKUP(A12,[1]CPS!A11:AG195,16,FALSE)</f>
        <v>6022</v>
      </c>
      <c r="M12" s="28">
        <f>VLOOKUP(A12,[1]CPS!A11:AG195,18,FALSE)</f>
        <v>4522</v>
      </c>
      <c r="N12" s="29">
        <f>VLOOKUP(A12,[1]CPS!A11:AG195,19,FALSE)</f>
        <v>44581</v>
      </c>
      <c r="O12" s="22" t="str">
        <f>VLOOKUP(A12,[1]CPS!A11:AU195,46,FALSE)</f>
        <v>ADMINISTRACION</v>
      </c>
      <c r="P12" s="30">
        <f>VLOOKUP(A12,[1]CPS!A11:AG195,13,FALSE)</f>
        <v>2812000</v>
      </c>
      <c r="Q12" s="31">
        <f>VLOOKUP(A12,[1]CPS!A11:AG195,12,FALSE)</f>
        <v>30932000</v>
      </c>
      <c r="R12" s="32"/>
      <c r="S12" s="22" t="s">
        <v>72</v>
      </c>
      <c r="T12" s="22" t="s">
        <v>73</v>
      </c>
      <c r="U12" s="33">
        <f>VLOOKUP(A12,[1]CPS!A11:AG195,5,FALSE)</f>
        <v>79972371</v>
      </c>
      <c r="V12" s="34" t="s">
        <v>74</v>
      </c>
      <c r="W12" s="21" t="s">
        <v>75</v>
      </c>
      <c r="X12" s="35" t="s">
        <v>71</v>
      </c>
      <c r="Y12" s="22" t="str">
        <f t="shared" si="0"/>
        <v>LUIS EDUARDO CIRO BERMÚDEZ</v>
      </c>
      <c r="Z12" s="22" t="str">
        <f>VLOOKUP(A12,[1]CPS!A11:AU195,35,FALSE)</f>
        <v>6 NO CONSTITUYÓ GARANTÍAS</v>
      </c>
      <c r="AA12" s="25" t="str">
        <f>VLOOKUP(A12,[1]CPS!A11:AU195,37,FALSE)</f>
        <v>N/A</v>
      </c>
      <c r="AB12" s="55" t="s">
        <v>71</v>
      </c>
      <c r="AC12" s="56" t="str">
        <f>VLOOKUP(A12,[1]CPS!A11:AU195,38,FALSE)</f>
        <v>N/A</v>
      </c>
      <c r="AD12" s="55" t="str">
        <f>VLOOKUP(A12,[1]CPS!A11:AU195,39,FALSE)</f>
        <v>N/A</v>
      </c>
      <c r="AE12" s="22" t="str">
        <f>VLOOKUP(A12,[1]CPS!A11:AU195,36,FALSE)</f>
        <v>PNN Serranía de Chiribiquete</v>
      </c>
      <c r="AF12" s="22" t="s">
        <v>77</v>
      </c>
      <c r="AG12" s="22" t="s">
        <v>73</v>
      </c>
      <c r="AH12" s="38">
        <f>VLOOKUP(A12,[1]CPS!A11:AU195,41,FALSE)</f>
        <v>51665707</v>
      </c>
      <c r="AI12" s="22" t="str">
        <f>VLOOKUP(A12,[1]CPS!A11:AU195,29,FALSE)</f>
        <v xml:space="preserve">AYDA CRISTINA GARZON </v>
      </c>
      <c r="AJ12" s="25">
        <f>VLOOKUP(A12,[1]CPS!A11:AH195,34,FALSE)</f>
        <v>330</v>
      </c>
      <c r="AK12" s="22"/>
      <c r="AL12" s="54" t="str">
        <f>VLOOKUP(A12,[1]CPS!A11:AU195,40,FALSE)</f>
        <v>N/A</v>
      </c>
      <c r="AM12" s="41">
        <f>VLOOKUP(A12,[1]CPS!A11:AU195,44,FALSE)</f>
        <v>44582</v>
      </c>
      <c r="AN12" s="22" t="s">
        <v>78</v>
      </c>
      <c r="AO12" s="22">
        <v>0</v>
      </c>
      <c r="AP12" s="42">
        <v>0</v>
      </c>
      <c r="AQ12" s="43"/>
      <c r="AR12" s="44">
        <v>0</v>
      </c>
      <c r="AS12" s="43"/>
      <c r="AT12" s="45">
        <f>VLOOKUP(A12,[1]CPS!A11:AU195,25,FALSE)</f>
        <v>44581</v>
      </c>
      <c r="AU12" s="45">
        <f>VLOOKUP(A12,[1]CPS!A11:AU195,26,FALSE)</f>
        <v>44915</v>
      </c>
      <c r="AV12" s="46"/>
      <c r="AW12" s="22" t="s">
        <v>79</v>
      </c>
      <c r="AX12" s="22"/>
      <c r="AY12" s="22"/>
      <c r="AZ12" s="22" t="s">
        <v>79</v>
      </c>
      <c r="BA12" s="22">
        <v>0</v>
      </c>
      <c r="BB12" s="22"/>
      <c r="BC12" s="22"/>
      <c r="BD12" s="22"/>
      <c r="BE12" s="47"/>
      <c r="BF12" s="48">
        <f t="shared" si="1"/>
        <v>30932000</v>
      </c>
      <c r="BG12" s="49" t="str">
        <f>VLOOKUP(A12,[1]CPS!A11:AU195,2,FALSE)</f>
        <v>ALEJANDRO DELGADO LOZANO</v>
      </c>
      <c r="BH12" s="50" t="str">
        <f>VLOOKUP(A12,[1]CPS!A11:AU195,42,FALSE)</f>
        <v>https://www.secop.gov.co/CO1ContractsManagement/Tendering/ProcurementContractEdit/View?docUniqueIdentifier=CO1.PCCNTR.3288586</v>
      </c>
      <c r="BI12" s="22" t="s">
        <v>80</v>
      </c>
      <c r="BJ12" s="22"/>
      <c r="BK12" s="51" t="str">
        <f>VLOOKUP(A12,[1]CPS!A11:AU195,33,FALSE)</f>
        <v>https://community.secop.gov.co/Public/Tendering/OpportunityDetail/Index?noticeUID=CO1.NTC.2580326&amp;isFromPublicArea=True&amp;isModal=False</v>
      </c>
      <c r="BL12" s="52"/>
      <c r="BM12" s="52"/>
      <c r="BN12" s="22"/>
      <c r="BO12" s="53" t="s">
        <v>81</v>
      </c>
      <c r="BP12" s="22"/>
      <c r="BQ12" s="22"/>
      <c r="BR12" s="22"/>
    </row>
    <row r="13" spans="1:70" ht="12.75" customHeight="1">
      <c r="A13" s="21">
        <v>12</v>
      </c>
      <c r="B13" s="22" t="s">
        <v>92</v>
      </c>
      <c r="C13" s="23" t="s">
        <v>68</v>
      </c>
      <c r="D13" s="24" t="str">
        <f>VLOOKUP(A13,[1]CPS!A12:AG196,3,FALSE)</f>
        <v>CD-DTAM NACION-CPS No. 012 - 2022</v>
      </c>
      <c r="E13" s="25">
        <v>12</v>
      </c>
      <c r="F13" s="22" t="str">
        <f>VLOOKUP(A13,[1]CPS!A12:AG196,4,FALSE)</f>
        <v>WENDY LORAINE PERDOMO ARIAS</v>
      </c>
      <c r="G13" s="26">
        <f>VLOOKUP(A13,[1]CPS!A12:AU196,43,FALSE)</f>
        <v>44580</v>
      </c>
      <c r="H13" s="22" t="str">
        <f>VLOOKUP(A13,[1]CPS!A12:AG196,9,FALSE)</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I13" s="27" t="s">
        <v>69</v>
      </c>
      <c r="J13" s="22" t="s">
        <v>70</v>
      </c>
      <c r="K13" s="25" t="s">
        <v>71</v>
      </c>
      <c r="L13" s="28">
        <f>VLOOKUP(A13,[1]CPS!A12:AG196,16,FALSE)</f>
        <v>6922</v>
      </c>
      <c r="M13" s="28">
        <f>VLOOKUP(A13,[1]CPS!A12:AG196,18,FALSE)</f>
        <v>5022</v>
      </c>
      <c r="N13" s="29">
        <f>VLOOKUP(A13,[1]CPS!A12:AG196,19,FALSE)</f>
        <v>44582</v>
      </c>
      <c r="O13" s="22" t="str">
        <f>VLOOKUP(A13,[1]CPS!A12:AU196,46,FALSE)</f>
        <v>ADMINISTRACION</v>
      </c>
      <c r="P13" s="30">
        <f>VLOOKUP(A13,[1]CPS!A12:AG196,13,FALSE)</f>
        <v>1412000</v>
      </c>
      <c r="Q13" s="31">
        <f>VLOOKUP(A13,[1]CPS!A12:AG196,12,FALSE)</f>
        <v>15532000</v>
      </c>
      <c r="R13" s="32"/>
      <c r="S13" s="22" t="s">
        <v>72</v>
      </c>
      <c r="T13" s="22" t="s">
        <v>73</v>
      </c>
      <c r="U13" s="33">
        <f>VLOOKUP(A13,[1]CPS!A12:AG196,5,FALSE)</f>
        <v>1121920541</v>
      </c>
      <c r="V13" s="34" t="s">
        <v>74</v>
      </c>
      <c r="W13" s="21" t="s">
        <v>75</v>
      </c>
      <c r="X13" s="35" t="s">
        <v>71</v>
      </c>
      <c r="Y13" s="22" t="str">
        <f t="shared" si="0"/>
        <v>WENDY LORAINE PERDOMO ARIAS</v>
      </c>
      <c r="Z13" s="22" t="str">
        <f>VLOOKUP(A13,[1]CPS!A12:AU196,35,FALSE)</f>
        <v>6 NO CONSTITUYÓ GARANTÍAS</v>
      </c>
      <c r="AA13" s="25" t="str">
        <f>VLOOKUP(A13,[1]CPS!A12:AU196,37,FALSE)</f>
        <v>N/A</v>
      </c>
      <c r="AB13" s="55" t="s">
        <v>71</v>
      </c>
      <c r="AC13" s="56" t="str">
        <f>VLOOKUP(A13,[1]CPS!A12:AU196,38,FALSE)</f>
        <v>N/A</v>
      </c>
      <c r="AD13" s="55" t="str">
        <f>VLOOKUP(A13,[1]CPS!A12:AU196,39,FALSE)</f>
        <v>N/A</v>
      </c>
      <c r="AE13" s="22" t="str">
        <f>VLOOKUP(A13,[1]CPS!A12:AU196,36,FALSE)</f>
        <v>PNN Serranía de Chiribiquete</v>
      </c>
      <c r="AF13" s="22" t="s">
        <v>77</v>
      </c>
      <c r="AG13" s="22" t="s">
        <v>73</v>
      </c>
      <c r="AH13" s="38">
        <f>VLOOKUP(A13,[1]CPS!A12:AU196,41,FALSE)</f>
        <v>51665707</v>
      </c>
      <c r="AI13" s="22" t="str">
        <f>VLOOKUP(A13,[1]CPS!A12:AU196,29,FALSE)</f>
        <v xml:space="preserve">AYDA CRISTINA GARZON </v>
      </c>
      <c r="AJ13" s="25">
        <f>VLOOKUP(A13,[1]CPS!A12:AH196,34,FALSE)</f>
        <v>330</v>
      </c>
      <c r="AK13" s="22"/>
      <c r="AL13" s="54" t="str">
        <f>VLOOKUP(A13,[1]CPS!A12:AU196,40,FALSE)</f>
        <v>N/A</v>
      </c>
      <c r="AM13" s="41">
        <f>VLOOKUP(A13,[1]CPS!A12:AU196,44,FALSE)</f>
        <v>44582</v>
      </c>
      <c r="AN13" s="22" t="s">
        <v>78</v>
      </c>
      <c r="AO13" s="22">
        <v>0</v>
      </c>
      <c r="AP13" s="42">
        <v>0</v>
      </c>
      <c r="AQ13" s="43"/>
      <c r="AR13" s="44">
        <v>0</v>
      </c>
      <c r="AS13" s="43"/>
      <c r="AT13" s="45">
        <f>VLOOKUP(A13,[1]CPS!A12:AU196,25,FALSE)</f>
        <v>44582</v>
      </c>
      <c r="AU13" s="45">
        <f>VLOOKUP(A13,[1]CPS!A12:AU196,26,FALSE)</f>
        <v>44915</v>
      </c>
      <c r="AV13" s="46"/>
      <c r="AW13" s="22" t="s">
        <v>79</v>
      </c>
      <c r="AX13" s="22"/>
      <c r="AY13" s="22"/>
      <c r="AZ13" s="22" t="s">
        <v>79</v>
      </c>
      <c r="BA13" s="22">
        <v>0</v>
      </c>
      <c r="BB13" s="22"/>
      <c r="BC13" s="22"/>
      <c r="BD13" s="22"/>
      <c r="BE13" s="47"/>
      <c r="BF13" s="48">
        <f t="shared" si="1"/>
        <v>15532000</v>
      </c>
      <c r="BG13" s="49" t="str">
        <f>VLOOKUP(A13,[1]CPS!A12:AU196,2,FALSE)</f>
        <v>ALEJANDRO DELGADO LOZANO</v>
      </c>
      <c r="BH13" s="50" t="str">
        <f>VLOOKUP(A13,[1]CPS!A12:AU196,42,FALSE)</f>
        <v>https://www.secop.gov.co/CO1ContractsManagement/Tendering/ProcurementContractEdit/View?docUniqueIdentifier=CO1.PCCNTR.3311424</v>
      </c>
      <c r="BI13" s="22" t="s">
        <v>80</v>
      </c>
      <c r="BJ13" s="22"/>
      <c r="BK13" s="51" t="str">
        <f>VLOOKUP(A13,[1]CPS!A12:AU196,33,FALSE)</f>
        <v>https://community.secop.gov.co/Public/Tendering/OpportunityDetail/Index?noticeUID=CO1.NTC.2580267&amp;isFromPublicArea=True&amp;isModal=False</v>
      </c>
      <c r="BL13" s="52"/>
      <c r="BM13" s="52"/>
      <c r="BN13" s="22"/>
      <c r="BO13" s="53" t="s">
        <v>81</v>
      </c>
      <c r="BP13" s="22"/>
      <c r="BQ13" s="22"/>
      <c r="BR13" s="22"/>
    </row>
    <row r="14" spans="1:70" ht="12.75" customHeight="1">
      <c r="A14" s="21">
        <v>13</v>
      </c>
      <c r="B14" s="22" t="s">
        <v>93</v>
      </c>
      <c r="C14" s="23" t="s">
        <v>68</v>
      </c>
      <c r="D14" s="24" t="str">
        <f>VLOOKUP(A14,[1]CPS!A13:AG197,3,FALSE)</f>
        <v>CD-DTAM NACION-CPS No. 013 - 2022</v>
      </c>
      <c r="E14" s="25">
        <v>13</v>
      </c>
      <c r="F14" s="22" t="str">
        <f>VLOOKUP(A14,[1]CPS!A13:AG197,4,FALSE)</f>
        <v>YOR MARI FRANCO GÓMEZ</v>
      </c>
      <c r="G14" s="26">
        <f>VLOOKUP(A14,[1]CPS!A13:AU197,43,FALSE)</f>
        <v>44581</v>
      </c>
      <c r="H14" s="22" t="str">
        <f>VLOOKUP(A14,[1]CPS!A13:AG197,9,FALSE)</f>
        <v>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v>
      </c>
      <c r="I14" s="27" t="s">
        <v>69</v>
      </c>
      <c r="J14" s="22" t="s">
        <v>70</v>
      </c>
      <c r="K14" s="25" t="s">
        <v>71</v>
      </c>
      <c r="L14" s="28">
        <f>VLOOKUP(A14,[1]CPS!A13:AG197,16,FALSE)</f>
        <v>6322</v>
      </c>
      <c r="M14" s="28">
        <f>VLOOKUP(A14,[1]CPS!A13:AG197,18,FALSE)</f>
        <v>5122</v>
      </c>
      <c r="N14" s="29">
        <f>VLOOKUP(A14,[1]CPS!A13:AG197,19,FALSE)</f>
        <v>44582</v>
      </c>
      <c r="O14" s="22" t="str">
        <f>VLOOKUP(A14,[1]CPS!A13:AU197,46,FALSE)</f>
        <v>ADMINISTRACION</v>
      </c>
      <c r="P14" s="30">
        <f>VLOOKUP(A14,[1]CPS!A13:AG197,13,FALSE)</f>
        <v>1412000</v>
      </c>
      <c r="Q14" s="31">
        <f>VLOOKUP(A14,[1]CPS!A13:AG197,12,FALSE)</f>
        <v>15532000</v>
      </c>
      <c r="R14" s="32"/>
      <c r="S14" s="22" t="s">
        <v>72</v>
      </c>
      <c r="T14" s="22" t="s">
        <v>73</v>
      </c>
      <c r="U14" s="33">
        <f>VLOOKUP(A14,[1]CPS!A13:AG197,5,FALSE)</f>
        <v>40438814</v>
      </c>
      <c r="V14" s="34" t="s">
        <v>74</v>
      </c>
      <c r="W14" s="21" t="s">
        <v>75</v>
      </c>
      <c r="X14" s="35" t="s">
        <v>71</v>
      </c>
      <c r="Y14" s="22" t="str">
        <f t="shared" si="0"/>
        <v>YOR MARI FRANCO GÓMEZ</v>
      </c>
      <c r="Z14" s="22" t="str">
        <f>VLOOKUP(A14,[1]CPS!A13:AU197,35,FALSE)</f>
        <v>6 NO CONSTITUYÓ GARANTÍAS</v>
      </c>
      <c r="AA14" s="25" t="str">
        <f>VLOOKUP(A14,[1]CPS!A13:AU197,37,FALSE)</f>
        <v>N/A</v>
      </c>
      <c r="AB14" s="55" t="s">
        <v>71</v>
      </c>
      <c r="AC14" s="56" t="str">
        <f>VLOOKUP(A14,[1]CPS!A13:AU197,38,FALSE)</f>
        <v>N/A</v>
      </c>
      <c r="AD14" s="55" t="str">
        <f>VLOOKUP(A14,[1]CPS!A13:AU197,39,FALSE)</f>
        <v>N/A</v>
      </c>
      <c r="AE14" s="22" t="str">
        <f>VLOOKUP(A14,[1]CPS!A13:AU197,36,FALSE)</f>
        <v>PNN Serranía de Chiribiquete</v>
      </c>
      <c r="AF14" s="22" t="s">
        <v>77</v>
      </c>
      <c r="AG14" s="22" t="s">
        <v>73</v>
      </c>
      <c r="AH14" s="38">
        <f>VLOOKUP(A14,[1]CPS!A13:AU197,41,FALSE)</f>
        <v>51665707</v>
      </c>
      <c r="AI14" s="22" t="str">
        <f>VLOOKUP(A14,[1]CPS!A13:AU197,29,FALSE)</f>
        <v xml:space="preserve">AYDA CRISTINA GARZON </v>
      </c>
      <c r="AJ14" s="25">
        <f>VLOOKUP(A14,[1]CPS!A13:AH197,34,FALSE)</f>
        <v>330</v>
      </c>
      <c r="AK14" s="22"/>
      <c r="AL14" s="54" t="str">
        <f>VLOOKUP(A14,[1]CPS!A13:AU197,40,FALSE)</f>
        <v>N/A</v>
      </c>
      <c r="AM14" s="41">
        <f>VLOOKUP(A14,[1]CPS!A13:AU197,44,FALSE)</f>
        <v>44582</v>
      </c>
      <c r="AN14" s="22" t="s">
        <v>78</v>
      </c>
      <c r="AO14" s="22">
        <v>0</v>
      </c>
      <c r="AP14" s="42">
        <v>0</v>
      </c>
      <c r="AQ14" s="43"/>
      <c r="AR14" s="44">
        <v>0</v>
      </c>
      <c r="AS14" s="43"/>
      <c r="AT14" s="45">
        <f>VLOOKUP(A14,[1]CPS!A13:AU197,25,FALSE)</f>
        <v>44582</v>
      </c>
      <c r="AU14" s="45">
        <f>VLOOKUP(A14,[1]CPS!A13:AU197,26,FALSE)</f>
        <v>44915</v>
      </c>
      <c r="AV14" s="46"/>
      <c r="AW14" s="22" t="s">
        <v>79</v>
      </c>
      <c r="AX14" s="22"/>
      <c r="AY14" s="22"/>
      <c r="AZ14" s="22" t="s">
        <v>79</v>
      </c>
      <c r="BA14" s="22">
        <v>0</v>
      </c>
      <c r="BB14" s="22"/>
      <c r="BC14" s="22"/>
      <c r="BD14" s="22"/>
      <c r="BE14" s="47"/>
      <c r="BF14" s="48">
        <f t="shared" si="1"/>
        <v>15532000</v>
      </c>
      <c r="BG14" s="49" t="str">
        <f>VLOOKUP(A14,[1]CPS!A13:AU197,2,FALSE)</f>
        <v>ALEJANDRO DELGADO LOZANO</v>
      </c>
      <c r="BH14" s="50" t="str">
        <f>VLOOKUP(A14,[1]CPS!A13:AU197,42,FALSE)</f>
        <v>https://www.secop.gov.co/CO1ContractsManagement/Tendering/ProcurementContractEdit/View?docUniqueIdentifier=CO1.PCCNTR.3326993</v>
      </c>
      <c r="BI14" s="22" t="s">
        <v>80</v>
      </c>
      <c r="BJ14" s="22"/>
      <c r="BK14" s="51" t="str">
        <f>VLOOKUP(A14,[1]CPS!A13:AU197,33,FALSE)</f>
        <v>https://community.secop.gov.co/Public/Tendering/OpportunityDetail/Index?noticeUID=CO1.NTC.2580270&amp;isFromPublicArea=True&amp;isModal=False</v>
      </c>
      <c r="BL14" s="52"/>
      <c r="BM14" s="52"/>
      <c r="BN14" s="22"/>
      <c r="BO14" s="53" t="s">
        <v>81</v>
      </c>
      <c r="BP14" s="22"/>
      <c r="BQ14" s="22"/>
      <c r="BR14" s="22"/>
    </row>
    <row r="15" spans="1:70" ht="12.75" customHeight="1">
      <c r="A15" s="21">
        <v>14</v>
      </c>
      <c r="B15" s="22" t="s">
        <v>94</v>
      </c>
      <c r="C15" s="23" t="s">
        <v>68</v>
      </c>
      <c r="D15" s="24" t="str">
        <f>VLOOKUP(A15,[1]CPS!A14:AG198,3,FALSE)</f>
        <v>CD-DTAM NACION-CPS No. 014 - 2022</v>
      </c>
      <c r="E15" s="25">
        <v>14</v>
      </c>
      <c r="F15" s="22" t="str">
        <f>VLOOKUP(A15,[1]CPS!A14:AG198,4,FALSE)</f>
        <v>DIEGO ALEXIS ALBINO HERNÁNDEZ</v>
      </c>
      <c r="G15" s="26">
        <f>VLOOKUP(A15,[1]CPS!A14:AU198,43,FALSE)</f>
        <v>44581</v>
      </c>
      <c r="H15" s="22" t="str">
        <f>VLOOKUP(A15,[1]CPS!A14:AG198,9,FALSE)</f>
        <v>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v>
      </c>
      <c r="I15" s="27" t="s">
        <v>69</v>
      </c>
      <c r="J15" s="22" t="s">
        <v>70</v>
      </c>
      <c r="K15" s="25" t="s">
        <v>71</v>
      </c>
      <c r="L15" s="28">
        <f>VLOOKUP(A15,[1]CPS!A14:AG198,16,FALSE)</f>
        <v>6122</v>
      </c>
      <c r="M15" s="28">
        <f>VLOOKUP(A15,[1]CPS!A14:AG198,18,FALSE)</f>
        <v>5222</v>
      </c>
      <c r="N15" s="29">
        <f>VLOOKUP(A15,[1]CPS!A14:AG198,19,FALSE)</f>
        <v>44582</v>
      </c>
      <c r="O15" s="22" t="str">
        <f>VLOOKUP(A15,[1]CPS!A14:AU198,46,FALSE)</f>
        <v>ADMINISTRACION</v>
      </c>
      <c r="P15" s="30">
        <f>VLOOKUP(A15,[1]CPS!A14:AG198,13,FALSE)</f>
        <v>1412000</v>
      </c>
      <c r="Q15" s="31">
        <f>VLOOKUP(A15,[1]CPS!A14:AG198,12,FALSE)</f>
        <v>15532000</v>
      </c>
      <c r="R15" s="32"/>
      <c r="S15" s="22" t="s">
        <v>72</v>
      </c>
      <c r="T15" s="22" t="s">
        <v>73</v>
      </c>
      <c r="U15" s="33">
        <f>VLOOKUP(A15,[1]CPS!A14:AG198,5,FALSE)</f>
        <v>1122679661</v>
      </c>
      <c r="V15" s="34" t="s">
        <v>74</v>
      </c>
      <c r="W15" s="21" t="s">
        <v>75</v>
      </c>
      <c r="X15" s="35" t="s">
        <v>71</v>
      </c>
      <c r="Y15" s="22" t="str">
        <f t="shared" si="0"/>
        <v>DIEGO ALEXIS ALBINO HERNÁNDEZ</v>
      </c>
      <c r="Z15" s="22" t="str">
        <f>VLOOKUP(A15,[1]CPS!A14:AU198,35,FALSE)</f>
        <v>6 NO CONSTITUYÓ GARANTÍAS</v>
      </c>
      <c r="AA15" s="25" t="str">
        <f>VLOOKUP(A15,[1]CPS!A14:AU198,37,FALSE)</f>
        <v>N/A</v>
      </c>
      <c r="AB15" s="55" t="s">
        <v>71</v>
      </c>
      <c r="AC15" s="56" t="str">
        <f>VLOOKUP(A15,[1]CPS!A14:AU198,38,FALSE)</f>
        <v>N/A</v>
      </c>
      <c r="AD15" s="55" t="str">
        <f>VLOOKUP(A15,[1]CPS!A14:AU198,39,FALSE)</f>
        <v>N/A</v>
      </c>
      <c r="AE15" s="22" t="str">
        <f>VLOOKUP(A15,[1]CPS!A14:AU198,36,FALSE)</f>
        <v>PNN Serranía de Chiribiquete</v>
      </c>
      <c r="AF15" s="22" t="s">
        <v>77</v>
      </c>
      <c r="AG15" s="22" t="s">
        <v>73</v>
      </c>
      <c r="AH15" s="38">
        <f>VLOOKUP(A15,[1]CPS!A14:AU198,41,FALSE)</f>
        <v>51665707</v>
      </c>
      <c r="AI15" s="22" t="str">
        <f>VLOOKUP(A15,[1]CPS!A14:AU198,29,FALSE)</f>
        <v xml:space="preserve">AYDA CRISTINA GARZON </v>
      </c>
      <c r="AJ15" s="25">
        <f>VLOOKUP(A15,[1]CPS!A14:AH198,34,FALSE)</f>
        <v>330</v>
      </c>
      <c r="AK15" s="22"/>
      <c r="AL15" s="54" t="str">
        <f>VLOOKUP(A15,[1]CPS!A14:AU198,40,FALSE)</f>
        <v>N/A</v>
      </c>
      <c r="AM15" s="41">
        <f>VLOOKUP(A15,[1]CPS!A14:AU198,44,FALSE)</f>
        <v>44582</v>
      </c>
      <c r="AN15" s="22" t="s">
        <v>78</v>
      </c>
      <c r="AO15" s="22">
        <v>0</v>
      </c>
      <c r="AP15" s="42">
        <v>0</v>
      </c>
      <c r="AQ15" s="43"/>
      <c r="AR15" s="44">
        <v>0</v>
      </c>
      <c r="AS15" s="43"/>
      <c r="AT15" s="45">
        <f>VLOOKUP(A15,[1]CPS!A14:AU198,25,FALSE)</f>
        <v>44582</v>
      </c>
      <c r="AU15" s="45">
        <f>VLOOKUP(A15,[1]CPS!A14:AU198,26,FALSE)</f>
        <v>44915</v>
      </c>
      <c r="AV15" s="46"/>
      <c r="AW15" s="22" t="s">
        <v>79</v>
      </c>
      <c r="AX15" s="22"/>
      <c r="AY15" s="22"/>
      <c r="AZ15" s="22" t="s">
        <v>79</v>
      </c>
      <c r="BA15" s="22">
        <v>0</v>
      </c>
      <c r="BB15" s="22"/>
      <c r="BC15" s="22"/>
      <c r="BD15" s="22"/>
      <c r="BE15" s="47"/>
      <c r="BF15" s="48">
        <f t="shared" si="1"/>
        <v>15532000</v>
      </c>
      <c r="BG15" s="49" t="str">
        <f>VLOOKUP(A15,[1]CPS!A14:AU198,2,FALSE)</f>
        <v>ALEJANDRO DELGADO LOZANO</v>
      </c>
      <c r="BH15" s="50" t="str">
        <f>VLOOKUP(A15,[1]CPS!A14:AU198,42,FALSE)</f>
        <v>https://www.secop.gov.co/CO1ContractsManagement/Tendering/ProcurementContractEdit/View?docUniqueIdentifier=CO1.PCCNTR.3328070</v>
      </c>
      <c r="BI15" s="22" t="s">
        <v>80</v>
      </c>
      <c r="BJ15" s="22"/>
      <c r="BK15" s="51" t="str">
        <f>VLOOKUP(A15,[1]CPS!A14:AU198,33,FALSE)</f>
        <v>https://community.secop.gov.co/Public/Tendering/OpportunityDetail/Index?noticeUID=CO1.NTC.2580531&amp;isFromPublicArea=True&amp;isModal=False</v>
      </c>
      <c r="BL15" s="52"/>
      <c r="BM15" s="52"/>
      <c r="BN15" s="22"/>
      <c r="BO15" s="53" t="s">
        <v>81</v>
      </c>
      <c r="BP15" s="22"/>
      <c r="BQ15" s="22"/>
      <c r="BR15" s="22"/>
    </row>
    <row r="16" spans="1:70" ht="12.75" customHeight="1">
      <c r="A16" s="21">
        <v>15</v>
      </c>
      <c r="B16" s="22" t="s">
        <v>95</v>
      </c>
      <c r="C16" s="23" t="s">
        <v>68</v>
      </c>
      <c r="D16" s="24" t="str">
        <f>VLOOKUP(A16,[1]CPS!A15:AG199,3,FALSE)</f>
        <v>CD-DTAM NACION-CPS No. 015 - 2022</v>
      </c>
      <c r="E16" s="25">
        <v>15</v>
      </c>
      <c r="F16" s="22" t="str">
        <f>VLOOKUP(A16,[1]CPS!A15:AG199,4,FALSE)</f>
        <v>JHONNY ALBERTO TORRES TORRES</v>
      </c>
      <c r="G16" s="26">
        <f>VLOOKUP(A16,[1]CPS!A15:AU199,43,FALSE)</f>
        <v>44216</v>
      </c>
      <c r="H16" s="22" t="str">
        <f>VLOOKUP(A16,[1]CPS!A15:AG199,9,FALSE)</f>
        <v>Prestación de servicios técnicos y de apoyo a la gestión para realizar acciones de prevención, vigilancia y ordenamiento que contribuyan al posicionamiento del Parque Serranía de Chiribiquete</v>
      </c>
      <c r="I16" s="27" t="s">
        <v>69</v>
      </c>
      <c r="J16" s="22" t="s">
        <v>70</v>
      </c>
      <c r="K16" s="25" t="s">
        <v>71</v>
      </c>
      <c r="L16" s="28">
        <f>VLOOKUP(A16,[1]CPS!A15:AG199,16,FALSE)</f>
        <v>7322</v>
      </c>
      <c r="M16" s="28">
        <f>VLOOKUP(A16,[1]CPS!A15:AG199,18,FALSE)</f>
        <v>5322</v>
      </c>
      <c r="N16" s="29">
        <f>VLOOKUP(A16,[1]CPS!A15:AG199,19,FALSE)</f>
        <v>44582</v>
      </c>
      <c r="O16" s="22" t="str">
        <f>VLOOKUP(A16,[1]CPS!A15:AU199,46,FALSE)</f>
        <v>ADMINISTRACION</v>
      </c>
      <c r="P16" s="30">
        <f>VLOOKUP(A16,[1]CPS!A15:AG199,13,FALSE)</f>
        <v>1960000</v>
      </c>
      <c r="Q16" s="31">
        <f>VLOOKUP(A16,[1]CPS!A15:AG199,12,FALSE)</f>
        <v>21560000</v>
      </c>
      <c r="R16" s="32"/>
      <c r="S16" s="22" t="s">
        <v>72</v>
      </c>
      <c r="T16" s="22" t="s">
        <v>73</v>
      </c>
      <c r="U16" s="33">
        <f>VLOOKUP(A16,[1]CPS!A15:AG199,5,FALSE)</f>
        <v>17690665</v>
      </c>
      <c r="V16" s="34" t="s">
        <v>74</v>
      </c>
      <c r="W16" s="21" t="s">
        <v>75</v>
      </c>
      <c r="X16" s="35" t="s">
        <v>71</v>
      </c>
      <c r="Y16" s="22" t="str">
        <f t="shared" si="0"/>
        <v>JHONNY ALBERTO TORRES TORRES</v>
      </c>
      <c r="Z16" s="22" t="str">
        <f>VLOOKUP(A16,[1]CPS!A15:AU199,35,FALSE)</f>
        <v>6 NO CONSTITUYÓ GARANTÍAS</v>
      </c>
      <c r="AA16" s="25" t="str">
        <f>VLOOKUP(A16,[1]CPS!A15:AU199,37,FALSE)</f>
        <v>N/A</v>
      </c>
      <c r="AB16" s="55" t="s">
        <v>71</v>
      </c>
      <c r="AC16" s="56" t="str">
        <f>VLOOKUP(A16,[1]CPS!A15:AU199,38,FALSE)</f>
        <v>N/A</v>
      </c>
      <c r="AD16" s="55" t="str">
        <f>VLOOKUP(A16,[1]CPS!A15:AU199,39,FALSE)</f>
        <v>N/A</v>
      </c>
      <c r="AE16" s="22" t="str">
        <f>VLOOKUP(A16,[1]CPS!A15:AU199,36,FALSE)</f>
        <v>PNN Serranía de Chiribiquete</v>
      </c>
      <c r="AF16" s="22" t="s">
        <v>77</v>
      </c>
      <c r="AG16" s="22" t="s">
        <v>73</v>
      </c>
      <c r="AH16" s="38">
        <f>VLOOKUP(A16,[1]CPS!A15:AU199,41,FALSE)</f>
        <v>51665707</v>
      </c>
      <c r="AI16" s="22" t="str">
        <f>VLOOKUP(A16,[1]CPS!A15:AU199,29,FALSE)</f>
        <v xml:space="preserve">AYDA CRISTINA GARZON </v>
      </c>
      <c r="AJ16" s="25">
        <f>VLOOKUP(A16,[1]CPS!A15:AH199,34,FALSE)</f>
        <v>330</v>
      </c>
      <c r="AK16" s="22"/>
      <c r="AL16" s="54" t="str">
        <f>VLOOKUP(A16,[1]CPS!A15:AU199,40,FALSE)</f>
        <v>N/A</v>
      </c>
      <c r="AM16" s="41">
        <f>VLOOKUP(A16,[1]CPS!A15:AU199,44,FALSE)</f>
        <v>44582</v>
      </c>
      <c r="AN16" s="22" t="s">
        <v>78</v>
      </c>
      <c r="AO16" s="22">
        <v>0</v>
      </c>
      <c r="AP16" s="42">
        <v>0</v>
      </c>
      <c r="AQ16" s="43"/>
      <c r="AR16" s="44">
        <v>0</v>
      </c>
      <c r="AS16" s="43"/>
      <c r="AT16" s="45">
        <f>VLOOKUP(A16,[1]CPS!A15:AU199,25,FALSE)</f>
        <v>44582</v>
      </c>
      <c r="AU16" s="45">
        <f>VLOOKUP(A16,[1]CPS!A15:AU199,26,FALSE)</f>
        <v>44915</v>
      </c>
      <c r="AV16" s="46"/>
      <c r="AW16" s="22" t="s">
        <v>79</v>
      </c>
      <c r="AX16" s="22"/>
      <c r="AY16" s="22"/>
      <c r="AZ16" s="22" t="s">
        <v>79</v>
      </c>
      <c r="BA16" s="22">
        <v>0</v>
      </c>
      <c r="BB16" s="22"/>
      <c r="BC16" s="22"/>
      <c r="BD16" s="22"/>
      <c r="BE16" s="47"/>
      <c r="BF16" s="48">
        <f t="shared" si="1"/>
        <v>21560000</v>
      </c>
      <c r="BG16" s="49" t="str">
        <f>VLOOKUP(A16,[1]CPS!A15:AU199,2,FALSE)</f>
        <v>ALEJANDRO DELGADO LOZANO</v>
      </c>
      <c r="BH16" s="50" t="str">
        <f>VLOOKUP(A16,[1]CPS!A15:AU199,42,FALSE)</f>
        <v>https://www.secop.gov.co/CO1ContractsManagement/Tendering/ProcurementContractEdit/View?docUniqueIdentifier=CO1.PCCNTR.3328767</v>
      </c>
      <c r="BI16" s="22" t="s">
        <v>80</v>
      </c>
      <c r="BJ16" s="22"/>
      <c r="BK16" s="51" t="str">
        <f>VLOOKUP(A16,[1]CPS!A15:AU199,33,FALSE)</f>
        <v>https://community.secop.gov.co/Public/Tendering/OpportunityDetail/Index?noticeUID=CO1.NTC.2581321&amp;isFromPublicArea=True&amp;isModal=False</v>
      </c>
      <c r="BL16" s="52"/>
      <c r="BM16" s="52"/>
      <c r="BN16" s="22"/>
      <c r="BO16" s="53" t="s">
        <v>81</v>
      </c>
      <c r="BP16" s="22"/>
      <c r="BQ16" s="22"/>
      <c r="BR16" s="22"/>
    </row>
    <row r="17" spans="1:70" ht="12.75" customHeight="1">
      <c r="A17" s="21">
        <v>16</v>
      </c>
      <c r="B17" s="22" t="s">
        <v>96</v>
      </c>
      <c r="C17" s="23" t="s">
        <v>68</v>
      </c>
      <c r="D17" s="24" t="str">
        <f>VLOOKUP(A17,[1]CPS!A16:AG200,3,FALSE)</f>
        <v>CD-DTAM NACION-CPS No. 016 - 2022</v>
      </c>
      <c r="E17" s="25">
        <v>16</v>
      </c>
      <c r="F17" s="22" t="str">
        <f>VLOOKUP(A17,[1]CPS!A16:AG200,4,FALSE)</f>
        <v xml:space="preserve">ESTHEPANNY LORAYNE SANCHEZ OSORIO
</v>
      </c>
      <c r="G17" s="26">
        <f>VLOOKUP(A17,[1]CPS!A16:AU200,43,FALSE)</f>
        <v>44581</v>
      </c>
      <c r="H17" s="22" t="str">
        <f>VLOOKUP(A17,[1]CPS!A16:AG200,9,FALSE)</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I17" s="27" t="s">
        <v>69</v>
      </c>
      <c r="J17" s="22" t="s">
        <v>70</v>
      </c>
      <c r="K17" s="25" t="s">
        <v>71</v>
      </c>
      <c r="L17" s="28">
        <f>VLOOKUP(A17,[1]CPS!A16:AG200,16,FALSE)</f>
        <v>6522</v>
      </c>
      <c r="M17" s="28">
        <f>VLOOKUP(A17,[1]CPS!A16:AG200,18,FALSE)</f>
        <v>5422</v>
      </c>
      <c r="N17" s="29">
        <f>VLOOKUP(A17,[1]CPS!A16:AG200,19,FALSE)</f>
        <v>44582</v>
      </c>
      <c r="O17" s="22" t="str">
        <f>VLOOKUP(A17,[1]CPS!A16:AU200,46,FALSE)</f>
        <v>ADMINISTRACION</v>
      </c>
      <c r="P17" s="30">
        <f>VLOOKUP(A17,[1]CPS!A16:AG200,13,FALSE)</f>
        <v>1412000</v>
      </c>
      <c r="Q17" s="31">
        <f>VLOOKUP(A17,[1]CPS!A16:AG200,12,FALSE)</f>
        <v>15532000</v>
      </c>
      <c r="R17" s="32"/>
      <c r="S17" s="22" t="s">
        <v>72</v>
      </c>
      <c r="T17" s="22" t="s">
        <v>73</v>
      </c>
      <c r="U17" s="33">
        <f>VLOOKUP(A17,[1]CPS!A16:AG200,5,FALSE)</f>
        <v>1117971344</v>
      </c>
      <c r="V17" s="34" t="s">
        <v>74</v>
      </c>
      <c r="W17" s="21" t="s">
        <v>75</v>
      </c>
      <c r="X17" s="35" t="s">
        <v>71</v>
      </c>
      <c r="Y17" s="22" t="str">
        <f t="shared" si="0"/>
        <v xml:space="preserve">ESTHEPANNY LORAYNE SANCHEZ OSORIO
</v>
      </c>
      <c r="Z17" s="22" t="str">
        <f>VLOOKUP(A17,[1]CPS!A16:AU200,35,FALSE)</f>
        <v>6 NO CONSTITUYÓ GARANTÍAS</v>
      </c>
      <c r="AA17" s="25" t="str">
        <f>VLOOKUP(A17,[1]CPS!A16:AU200,37,FALSE)</f>
        <v>N/A</v>
      </c>
      <c r="AB17" s="55" t="s">
        <v>71</v>
      </c>
      <c r="AC17" s="56" t="str">
        <f>VLOOKUP(A17,[1]CPS!A16:AU200,38,FALSE)</f>
        <v>N/A</v>
      </c>
      <c r="AD17" s="55" t="str">
        <f>VLOOKUP(A17,[1]CPS!A16:AU200,39,FALSE)</f>
        <v>N/A</v>
      </c>
      <c r="AE17" s="22" t="str">
        <f>VLOOKUP(A17,[1]CPS!A16:AU200,36,FALSE)</f>
        <v>PNN Serranía de Chiribiquete</v>
      </c>
      <c r="AF17" s="22" t="s">
        <v>77</v>
      </c>
      <c r="AG17" s="22" t="s">
        <v>73</v>
      </c>
      <c r="AH17" s="38">
        <f>VLOOKUP(A17,[1]CPS!A16:AU200,41,FALSE)</f>
        <v>51665707</v>
      </c>
      <c r="AI17" s="22" t="str">
        <f>VLOOKUP(A17,[1]CPS!A16:AU200,29,FALSE)</f>
        <v xml:space="preserve">AYDA CRISTINA GARZON </v>
      </c>
      <c r="AJ17" s="25">
        <f>VLOOKUP(A17,[1]CPS!A16:AH200,34,FALSE)</f>
        <v>330</v>
      </c>
      <c r="AK17" s="22"/>
      <c r="AL17" s="54" t="str">
        <f>VLOOKUP(A17,[1]CPS!A16:AU200,40,FALSE)</f>
        <v>N/A</v>
      </c>
      <c r="AM17" s="41">
        <f>VLOOKUP(A17,[1]CPS!A16:AU200,44,FALSE)</f>
        <v>44582</v>
      </c>
      <c r="AN17" s="22" t="s">
        <v>78</v>
      </c>
      <c r="AO17" s="22">
        <v>0</v>
      </c>
      <c r="AP17" s="42">
        <v>0</v>
      </c>
      <c r="AQ17" s="43"/>
      <c r="AR17" s="44">
        <v>0</v>
      </c>
      <c r="AS17" s="43"/>
      <c r="AT17" s="45">
        <f>VLOOKUP(A17,[1]CPS!A16:AU200,25,FALSE)</f>
        <v>44582</v>
      </c>
      <c r="AU17" s="45">
        <f>VLOOKUP(A17,[1]CPS!A16:AU200,26,FALSE)</f>
        <v>44915</v>
      </c>
      <c r="AV17" s="46"/>
      <c r="AW17" s="22" t="s">
        <v>79</v>
      </c>
      <c r="AX17" s="22"/>
      <c r="AY17" s="22"/>
      <c r="AZ17" s="22" t="s">
        <v>79</v>
      </c>
      <c r="BA17" s="22">
        <v>0</v>
      </c>
      <c r="BB17" s="22"/>
      <c r="BC17" s="22"/>
      <c r="BD17" s="22"/>
      <c r="BE17" s="47"/>
      <c r="BF17" s="48">
        <f t="shared" si="1"/>
        <v>15532000</v>
      </c>
      <c r="BG17" s="49" t="str">
        <f>VLOOKUP(A17,[1]CPS!A16:AU200,2,FALSE)</f>
        <v>ALEJANDRO DELGADO LOZANO</v>
      </c>
      <c r="BH17" s="50" t="str">
        <f>VLOOKUP(A17,[1]CPS!A16:AU200,42,FALSE)</f>
        <v>https://www.secop.gov.co/CO1ContractsManagement/Tendering/ProcurementContractEdit/View?docUniqueIdentifier=CO1.PCCNTR.3329446</v>
      </c>
      <c r="BI17" s="22" t="s">
        <v>80</v>
      </c>
      <c r="BJ17" s="22"/>
      <c r="BK17" s="51" t="str">
        <f>VLOOKUP(A17,[1]CPS!A16:AU200,33,FALSE)</f>
        <v>https://community.secop.gov.co/Public/Tendering/OpportunityDetail/Index?noticeUID=CO1.NTC.2581329&amp;isFromPublicArea=True&amp;isModal=False</v>
      </c>
      <c r="BL17" s="52"/>
      <c r="BM17" s="52"/>
      <c r="BN17" s="22"/>
      <c r="BO17" s="53" t="s">
        <v>81</v>
      </c>
      <c r="BP17" s="22"/>
      <c r="BQ17" s="22"/>
      <c r="BR17" s="22"/>
    </row>
    <row r="18" spans="1:70" ht="12.75" customHeight="1">
      <c r="A18" s="21">
        <v>17</v>
      </c>
      <c r="B18" s="22" t="s">
        <v>97</v>
      </c>
      <c r="C18" s="23" t="s">
        <v>68</v>
      </c>
      <c r="D18" s="24" t="str">
        <f>VLOOKUP(A18,[1]CPS!A17:AG201,3,FALSE)</f>
        <v>CD-DTAM NACION-CPS No. 017 - 2022</v>
      </c>
      <c r="E18" s="25">
        <v>17</v>
      </c>
      <c r="F18" s="22" t="str">
        <f>VLOOKUP(A18,[1]CPS!A17:AG201,4,FALSE)</f>
        <v>EFRAIN SOTO OLAYA</v>
      </c>
      <c r="G18" s="26">
        <f>VLOOKUP(A18,[1]CPS!A17:AU201,43,FALSE)</f>
        <v>44581</v>
      </c>
      <c r="H18" s="22" t="str">
        <f>VLOOKUP(A18,[1]CPS!A17:AG201,9,FALSE)</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I18" s="27" t="s">
        <v>69</v>
      </c>
      <c r="J18" s="22" t="s">
        <v>70</v>
      </c>
      <c r="K18" s="25" t="s">
        <v>71</v>
      </c>
      <c r="L18" s="28">
        <f>VLOOKUP(A18,[1]CPS!A17:AG201,16,FALSE)</f>
        <v>6822</v>
      </c>
      <c r="M18" s="28">
        <f>VLOOKUP(A18,[1]CPS!A17:AG201,18,FALSE)</f>
        <v>6622</v>
      </c>
      <c r="N18" s="29">
        <f>VLOOKUP(A18,[1]CPS!A17:AG201,19,FALSE)</f>
        <v>44583</v>
      </c>
      <c r="O18" s="22" t="str">
        <f>VLOOKUP(A18,[1]CPS!A17:AU201,46,FALSE)</f>
        <v>ADMINISTRACION</v>
      </c>
      <c r="P18" s="30">
        <f>VLOOKUP(A18,[1]CPS!A17:AG201,13,FALSE)</f>
        <v>1412000</v>
      </c>
      <c r="Q18" s="31">
        <f>VLOOKUP(A18,[1]CPS!A17:AG201,12,FALSE)</f>
        <v>15532000</v>
      </c>
      <c r="R18" s="32"/>
      <c r="S18" s="22" t="s">
        <v>72</v>
      </c>
      <c r="T18" s="22" t="s">
        <v>73</v>
      </c>
      <c r="U18" s="33">
        <f>VLOOKUP(A18,[1]CPS!A17:AG201,5,FALSE)</f>
        <v>17669470</v>
      </c>
      <c r="V18" s="34" t="s">
        <v>74</v>
      </c>
      <c r="W18" s="21" t="s">
        <v>75</v>
      </c>
      <c r="X18" s="35" t="s">
        <v>71</v>
      </c>
      <c r="Y18" s="22" t="str">
        <f t="shared" si="0"/>
        <v>EFRAIN SOTO OLAYA</v>
      </c>
      <c r="Z18" s="22" t="str">
        <f>VLOOKUP(A18,[1]CPS!A17:AU201,35,FALSE)</f>
        <v>6 NO CONSTITUYÓ GARANTÍAS</v>
      </c>
      <c r="AA18" s="25" t="str">
        <f>VLOOKUP(A18,[1]CPS!A17:AU201,37,FALSE)</f>
        <v>N/A</v>
      </c>
      <c r="AB18" s="55" t="s">
        <v>71</v>
      </c>
      <c r="AC18" s="56" t="str">
        <f>VLOOKUP(A18,[1]CPS!A17:AU201,38,FALSE)</f>
        <v>N/A</v>
      </c>
      <c r="AD18" s="55" t="str">
        <f>VLOOKUP(A18,[1]CPS!A17:AU201,39,FALSE)</f>
        <v>N/A</v>
      </c>
      <c r="AE18" s="22" t="str">
        <f>VLOOKUP(A18,[1]CPS!A17:AU201,36,FALSE)</f>
        <v>PNN Serranía de Chiribiquete</v>
      </c>
      <c r="AF18" s="22" t="s">
        <v>77</v>
      </c>
      <c r="AG18" s="22" t="s">
        <v>73</v>
      </c>
      <c r="AH18" s="38">
        <f>VLOOKUP(A18,[1]CPS!A17:AU201,41,FALSE)</f>
        <v>51665707</v>
      </c>
      <c r="AI18" s="22" t="str">
        <f>VLOOKUP(A18,[1]CPS!A17:AU201,29,FALSE)</f>
        <v xml:space="preserve">AYDA CRISTINA GARZON </v>
      </c>
      <c r="AJ18" s="25">
        <f>VLOOKUP(A18,[1]CPS!A17:AH201,34,FALSE)</f>
        <v>330</v>
      </c>
      <c r="AK18" s="22"/>
      <c r="AL18" s="54" t="str">
        <f>VLOOKUP(A18,[1]CPS!A17:AU201,40,FALSE)</f>
        <v>N/A</v>
      </c>
      <c r="AM18" s="41">
        <f>VLOOKUP(A18,[1]CPS!A17:AU201,44,FALSE)</f>
        <v>44583</v>
      </c>
      <c r="AN18" s="22" t="s">
        <v>78</v>
      </c>
      <c r="AO18" s="22">
        <v>0</v>
      </c>
      <c r="AP18" s="42">
        <v>0</v>
      </c>
      <c r="AQ18" s="43"/>
      <c r="AR18" s="44">
        <v>0</v>
      </c>
      <c r="AS18" s="43"/>
      <c r="AT18" s="45">
        <f>VLOOKUP(A18,[1]CPS!A17:AU201,25,FALSE)</f>
        <v>44583</v>
      </c>
      <c r="AU18" s="45">
        <f>VLOOKUP(A18,[1]CPS!A17:AU201,26,FALSE)</f>
        <v>44916</v>
      </c>
      <c r="AV18" s="46"/>
      <c r="AW18" s="22" t="s">
        <v>79</v>
      </c>
      <c r="AX18" s="22"/>
      <c r="AY18" s="22"/>
      <c r="AZ18" s="22" t="s">
        <v>79</v>
      </c>
      <c r="BA18" s="22">
        <v>0</v>
      </c>
      <c r="BB18" s="22"/>
      <c r="BC18" s="22"/>
      <c r="BD18" s="22"/>
      <c r="BE18" s="47"/>
      <c r="BF18" s="48">
        <f t="shared" si="1"/>
        <v>15532000</v>
      </c>
      <c r="BG18" s="49" t="str">
        <f>VLOOKUP(A18,[1]CPS!A17:AU201,2,FALSE)</f>
        <v>ALEJANDRO DELGADO LOZANO</v>
      </c>
      <c r="BH18" s="50" t="str">
        <f>VLOOKUP(A18,[1]CPS!A17:AU201,42,FALSE)</f>
        <v>https://www.secop.gov.co/CO1ContractsManagement/Tendering/ProcurementContractEdit/View?docUniqueIdentifier=CO1.PCCNTR.3330221</v>
      </c>
      <c r="BI18" s="22" t="s">
        <v>80</v>
      </c>
      <c r="BJ18" s="22"/>
      <c r="BK18" s="51" t="str">
        <f>VLOOKUP(A18,[1]CPS!A17:AU201,33,FALSE)</f>
        <v>https://community.secop.gov.co/Public/Tendering/OpportunityDetail/Index?noticeUID=CO1.NTC.2581257&amp;isFromPublicArea=True&amp;isModal=False</v>
      </c>
      <c r="BL18" s="52"/>
      <c r="BM18" s="52"/>
      <c r="BN18" s="22"/>
      <c r="BO18" s="53" t="s">
        <v>81</v>
      </c>
      <c r="BP18" s="22"/>
      <c r="BQ18" s="22"/>
      <c r="BR18" s="22"/>
    </row>
    <row r="19" spans="1:70" ht="12.75" customHeight="1">
      <c r="A19" s="21">
        <v>18</v>
      </c>
      <c r="B19" s="22" t="s">
        <v>98</v>
      </c>
      <c r="C19" s="23" t="s">
        <v>68</v>
      </c>
      <c r="D19" s="24" t="str">
        <f>VLOOKUP(A19,[1]CPS!A18:AG202,3,FALSE)</f>
        <v>CD-DTAM NACION-CPS No. 018 - 2022</v>
      </c>
      <c r="E19" s="25">
        <v>18</v>
      </c>
      <c r="F19" s="22" t="str">
        <f>VLOOKUP(A19,[1]CPS!A18:AG202,4,FALSE)</f>
        <v>JAIRO QUINTERO ANGULO</v>
      </c>
      <c r="G19" s="26">
        <f>VLOOKUP(A19,[1]CPS!A18:AU202,43,FALSE)</f>
        <v>44581</v>
      </c>
      <c r="H19" s="22" t="str">
        <f>VLOOKUP(A19,[1]CPS!A18:AG202,9,FALSE)</f>
        <v>Prestación de servicios profesionales y de apoyo a la construcción e implementación de una estrategia de gobernanza que involucre el relacionamiento con comunidades indígenas y campesinas relacionadas con el Parque Nacional Natural Serranía de Chiribiquete como aporte a la disminución de las presiones y amenazas que afectan el área protegida y a la coordinación de acciones con socios estratégicos.</v>
      </c>
      <c r="I19" s="27" t="s">
        <v>69</v>
      </c>
      <c r="J19" s="22" t="s">
        <v>70</v>
      </c>
      <c r="K19" s="25" t="s">
        <v>71</v>
      </c>
      <c r="L19" s="28">
        <f>VLOOKUP(A19,[1]CPS!A18:AG202,16,FALSE)</f>
        <v>5222</v>
      </c>
      <c r="M19" s="28">
        <f>VLOOKUP(A19,[1]CPS!A18:AG202,18,FALSE)</f>
        <v>5822</v>
      </c>
      <c r="N19" s="29">
        <f>VLOOKUP(A19,[1]CPS!A18:AG202,19,FALSE)</f>
        <v>44583</v>
      </c>
      <c r="O19" s="22" t="str">
        <f>VLOOKUP(A19,[1]CPS!A18:AU202,46,FALSE)</f>
        <v>ADMINISTRACION</v>
      </c>
      <c r="P19" s="30">
        <f>VLOOKUP(A19,[1]CPS!A18:AG202,13,FALSE)</f>
        <v>4100000</v>
      </c>
      <c r="Q19" s="31">
        <f>VLOOKUP(A19,[1]CPS!A18:AG202,12,FALSE)</f>
        <v>44690000</v>
      </c>
      <c r="R19" s="32"/>
      <c r="S19" s="22" t="s">
        <v>72</v>
      </c>
      <c r="T19" s="22" t="s">
        <v>73</v>
      </c>
      <c r="U19" s="33">
        <f>VLOOKUP(A19,[1]CPS!A18:AG202,5,FALSE)</f>
        <v>17615993</v>
      </c>
      <c r="V19" s="34" t="s">
        <v>74</v>
      </c>
      <c r="W19" s="21" t="s">
        <v>75</v>
      </c>
      <c r="X19" s="35" t="s">
        <v>71</v>
      </c>
      <c r="Y19" s="22" t="str">
        <f t="shared" si="0"/>
        <v>JAIRO QUINTERO ANGULO</v>
      </c>
      <c r="Z19" s="22" t="str">
        <f>VLOOKUP(A19,[1]CPS!A18:AU202,35,FALSE)</f>
        <v>6 NO CONSTITUYÓ GARANTÍAS</v>
      </c>
      <c r="AA19" s="25" t="str">
        <f>VLOOKUP(A19,[1]CPS!A18:AU202,37,FALSE)</f>
        <v>N/A</v>
      </c>
      <c r="AB19" s="55" t="s">
        <v>71</v>
      </c>
      <c r="AC19" s="56" t="str">
        <f>VLOOKUP(A19,[1]CPS!A18:AU202,38,FALSE)</f>
        <v>N/A</v>
      </c>
      <c r="AD19" s="55" t="str">
        <f>VLOOKUP(A19,[1]CPS!A18:AU202,39,FALSE)</f>
        <v>N/A</v>
      </c>
      <c r="AE19" s="22" t="str">
        <f>VLOOKUP(A19,[1]CPS!A18:AU202,36,FALSE)</f>
        <v>PNN Serranía de Chiribiquete</v>
      </c>
      <c r="AF19" s="22" t="s">
        <v>77</v>
      </c>
      <c r="AG19" s="22" t="s">
        <v>73</v>
      </c>
      <c r="AH19" s="38">
        <f>VLOOKUP(A19,[1]CPS!A18:AU202,41,FALSE)</f>
        <v>51665707</v>
      </c>
      <c r="AI19" s="22" t="str">
        <f>VLOOKUP(A19,[1]CPS!A18:AU202,29,FALSE)</f>
        <v xml:space="preserve">AYDA CRISTINA GARZON </v>
      </c>
      <c r="AJ19" s="25">
        <f>VLOOKUP(A19,[1]CPS!A18:AH202,34,FALSE)</f>
        <v>327</v>
      </c>
      <c r="AK19" s="22"/>
      <c r="AL19" s="54" t="str">
        <f>VLOOKUP(A19,[1]CPS!A18:AU202,40,FALSE)</f>
        <v>N/A</v>
      </c>
      <c r="AM19" s="41">
        <f>VLOOKUP(A19,[1]CPS!A18:AU202,44,FALSE)</f>
        <v>44583</v>
      </c>
      <c r="AN19" s="22" t="s">
        <v>78</v>
      </c>
      <c r="AO19" s="22">
        <v>0</v>
      </c>
      <c r="AP19" s="42">
        <v>0</v>
      </c>
      <c r="AQ19" s="43"/>
      <c r="AR19" s="44">
        <v>0</v>
      </c>
      <c r="AS19" s="43"/>
      <c r="AT19" s="45">
        <f>VLOOKUP(A19,[1]CPS!A18:AU202,25,FALSE)</f>
        <v>44583</v>
      </c>
      <c r="AU19" s="45">
        <f>VLOOKUP(A19,[1]CPS!A18:AU202,26,FALSE)</f>
        <v>44913</v>
      </c>
      <c r="AV19" s="46"/>
      <c r="AW19" s="22" t="s">
        <v>79</v>
      </c>
      <c r="AX19" s="22"/>
      <c r="AY19" s="22"/>
      <c r="AZ19" s="22" t="s">
        <v>79</v>
      </c>
      <c r="BA19" s="22">
        <v>0</v>
      </c>
      <c r="BB19" s="22"/>
      <c r="BC19" s="22"/>
      <c r="BD19" s="22"/>
      <c r="BE19" s="47"/>
      <c r="BF19" s="48">
        <f t="shared" si="1"/>
        <v>44690000</v>
      </c>
      <c r="BG19" s="49" t="str">
        <f>VLOOKUP(A19,[1]CPS!A18:AU202,2,FALSE)</f>
        <v>ALEJANDRO DELGADO LOZANO</v>
      </c>
      <c r="BH19" s="50" t="str">
        <f>VLOOKUP(A19,[1]CPS!A18:AU202,42,FALSE)</f>
        <v>https://www.secop.gov.co/CO1ContractsManagement/Tendering/ProcurementContractEdit/View?docUniqueIdentifier=CO1.PCCNTR.3330286</v>
      </c>
      <c r="BI19" s="22" t="s">
        <v>80</v>
      </c>
      <c r="BJ19" s="22"/>
      <c r="BK19" s="51" t="str">
        <f>VLOOKUP(A19,[1]CPS!A18:AU202,33,FALSE)</f>
        <v>https://community.secop.gov.co/Public/Tendering/OpportunityDetail/Index?noticeUID=CO1.NTC.2581337&amp;isFromPublicArea=True&amp;isModal=False</v>
      </c>
      <c r="BL19" s="52"/>
      <c r="BM19" s="52"/>
      <c r="BN19" s="22"/>
      <c r="BO19" s="53" t="s">
        <v>81</v>
      </c>
      <c r="BP19" s="22"/>
      <c r="BQ19" s="22"/>
      <c r="BR19" s="22"/>
    </row>
    <row r="20" spans="1:70" ht="12.75" customHeight="1">
      <c r="A20" s="21">
        <v>19</v>
      </c>
      <c r="B20" s="22" t="s">
        <v>99</v>
      </c>
      <c r="C20" s="23" t="s">
        <v>68</v>
      </c>
      <c r="D20" s="24" t="str">
        <f>VLOOKUP(A20,[1]CPS!A19:AG203,3,FALSE)</f>
        <v>CD-DTAM NACION-CPS No. 019 - 2022</v>
      </c>
      <c r="E20" s="25">
        <v>19</v>
      </c>
      <c r="F20" s="22" t="str">
        <f>VLOOKUP(A20,[1]CPS!A19:AG203,4,FALSE)</f>
        <v>SERGIO DIONICIO ALVAREZ HERNANDEZ</v>
      </c>
      <c r="G20" s="26">
        <f>VLOOKUP(A20,[1]CPS!A19:AU203,43,FALSE)</f>
        <v>44581</v>
      </c>
      <c r="H20" s="22" t="str">
        <f>VLOOKUP(A20,[1]CPS!A19:AG203,9,FALSE)</f>
        <v>Prestación de servicios técnicos y de apoyo a la gestión para adelantar acciones de relacionamiento con comunidades indígenas y de planeación y seguimiento  en el marco del Plan de Manejo del Parque Nacional Natural Serranía de Chiribiquete</v>
      </c>
      <c r="I20" s="27" t="s">
        <v>69</v>
      </c>
      <c r="J20" s="22" t="s">
        <v>70</v>
      </c>
      <c r="K20" s="25" t="s">
        <v>71</v>
      </c>
      <c r="L20" s="28">
        <f>VLOOKUP(A20,[1]CPS!A19:AG203,16,FALSE)</f>
        <v>5122</v>
      </c>
      <c r="M20" s="28">
        <f>VLOOKUP(A20,[1]CPS!A19:AG203,18,FALSE)</f>
        <v>6022</v>
      </c>
      <c r="N20" s="29">
        <f>VLOOKUP(A20,[1]CPS!A19:AG203,19,FALSE)</f>
        <v>44583</v>
      </c>
      <c r="O20" s="22" t="str">
        <f>VLOOKUP(A20,[1]CPS!A19:AU203,46,FALSE)</f>
        <v>ADMINISTRACION</v>
      </c>
      <c r="P20" s="30">
        <f>VLOOKUP(A20,[1]CPS!A19:AG203,13,FALSE)</f>
        <v>2330000</v>
      </c>
      <c r="Q20" s="31">
        <f>VLOOKUP(A20,[1]CPS!A19:AG203,12,FALSE)</f>
        <v>25552334</v>
      </c>
      <c r="R20" s="32"/>
      <c r="S20" s="22" t="s">
        <v>72</v>
      </c>
      <c r="T20" s="22" t="s">
        <v>73</v>
      </c>
      <c r="U20" s="33">
        <f>VLOOKUP(A20,[1]CPS!A19:AG203,5,FALSE)</f>
        <v>18205648</v>
      </c>
      <c r="V20" s="34" t="s">
        <v>74</v>
      </c>
      <c r="W20" s="21" t="s">
        <v>75</v>
      </c>
      <c r="X20" s="35" t="s">
        <v>71</v>
      </c>
      <c r="Y20" s="22" t="str">
        <f t="shared" si="0"/>
        <v>SERGIO DIONICIO ALVAREZ HERNANDEZ</v>
      </c>
      <c r="Z20" s="22" t="str">
        <f>VLOOKUP(A20,[1]CPS!A19:AU203,35,FALSE)</f>
        <v>6 NO CONSTITUYÓ GARANTÍAS</v>
      </c>
      <c r="AA20" s="25" t="str">
        <f>VLOOKUP(A20,[1]CPS!A19:AU203,37,FALSE)</f>
        <v>N/A</v>
      </c>
      <c r="AB20" s="55" t="s">
        <v>71</v>
      </c>
      <c r="AC20" s="56" t="str">
        <f>VLOOKUP(A20,[1]CPS!A19:AU203,38,FALSE)</f>
        <v>N/A</v>
      </c>
      <c r="AD20" s="55" t="str">
        <f>VLOOKUP(A20,[1]CPS!A19:AU203,39,FALSE)</f>
        <v>N/A</v>
      </c>
      <c r="AE20" s="22" t="str">
        <f>VLOOKUP(A20,[1]CPS!A19:AU203,36,FALSE)</f>
        <v>PNN Serranía de Chiribiquete</v>
      </c>
      <c r="AF20" s="22" t="s">
        <v>77</v>
      </c>
      <c r="AG20" s="22" t="s">
        <v>73</v>
      </c>
      <c r="AH20" s="38">
        <f>VLOOKUP(A20,[1]CPS!A19:AU203,41,FALSE)</f>
        <v>51665707</v>
      </c>
      <c r="AI20" s="22" t="str">
        <f>VLOOKUP(A20,[1]CPS!A19:AU203,29,FALSE)</f>
        <v xml:space="preserve">AYDA CRISTINA GARZON </v>
      </c>
      <c r="AJ20" s="25">
        <f>VLOOKUP(A20,[1]CPS!A19:AH203,34,FALSE)</f>
        <v>329</v>
      </c>
      <c r="AK20" s="22"/>
      <c r="AL20" s="54" t="str">
        <f>VLOOKUP(A20,[1]CPS!A19:AU203,40,FALSE)</f>
        <v>N/A</v>
      </c>
      <c r="AM20" s="41">
        <f>VLOOKUP(A20,[1]CPS!A19:AU203,44,FALSE)</f>
        <v>44583</v>
      </c>
      <c r="AN20" s="22" t="s">
        <v>78</v>
      </c>
      <c r="AO20" s="22">
        <v>0</v>
      </c>
      <c r="AP20" s="42">
        <v>0</v>
      </c>
      <c r="AQ20" s="43"/>
      <c r="AR20" s="44">
        <v>0</v>
      </c>
      <c r="AS20" s="43"/>
      <c r="AT20" s="45">
        <f>VLOOKUP(A20,[1]CPS!A19:AU203,25,FALSE)</f>
        <v>44583</v>
      </c>
      <c r="AU20" s="45">
        <f>VLOOKUP(A20,[1]CPS!A19:AU203,26,FALSE)</f>
        <v>44915</v>
      </c>
      <c r="AV20" s="46"/>
      <c r="AW20" s="22" t="s">
        <v>79</v>
      </c>
      <c r="AX20" s="22"/>
      <c r="AY20" s="22"/>
      <c r="AZ20" s="22" t="s">
        <v>79</v>
      </c>
      <c r="BA20" s="22">
        <v>0</v>
      </c>
      <c r="BB20" s="22"/>
      <c r="BC20" s="22"/>
      <c r="BD20" s="22"/>
      <c r="BE20" s="47"/>
      <c r="BF20" s="48">
        <f t="shared" si="1"/>
        <v>25552334</v>
      </c>
      <c r="BG20" s="49" t="str">
        <f>VLOOKUP(A20,[1]CPS!A19:AU203,2,FALSE)</f>
        <v>ALEJANDRO DELGADO LOZANO</v>
      </c>
      <c r="BH20" s="50" t="str">
        <f>VLOOKUP(A20,[1]CPS!A19:AU203,42,FALSE)</f>
        <v>https://www.secop.gov.co/CO1ContractsManagement/Tendering/ProcurementContractEdit/View?docUniqueIdentifier=CO1.PCCNTR.3330754</v>
      </c>
      <c r="BI20" s="22" t="s">
        <v>80</v>
      </c>
      <c r="BJ20" s="22"/>
      <c r="BK20" s="51" t="str">
        <f>VLOOKUP(A20,[1]CPS!A19:AU203,33,FALSE)</f>
        <v>https://community.secop.gov.co/Public/Tendering/OpportunityDetail/Index?noticeUID=CO1.NTC.2583454&amp;isFromPublicArea=True&amp;isModal=False</v>
      </c>
      <c r="BL20" s="52"/>
      <c r="BM20" s="52"/>
      <c r="BN20" s="22"/>
      <c r="BO20" s="53" t="s">
        <v>81</v>
      </c>
      <c r="BP20" s="22"/>
      <c r="BQ20" s="22"/>
      <c r="BR20" s="22"/>
    </row>
    <row r="21" spans="1:70" ht="12.75" customHeight="1">
      <c r="A21" s="21">
        <v>20</v>
      </c>
      <c r="B21" s="22" t="s">
        <v>100</v>
      </c>
      <c r="C21" s="23" t="s">
        <v>68</v>
      </c>
      <c r="D21" s="24" t="str">
        <f>VLOOKUP(A21,[1]CPS!A20:AG204,3,FALSE)</f>
        <v>CD-DTAM NACION-CPS No. 020 - 2022</v>
      </c>
      <c r="E21" s="25">
        <v>20</v>
      </c>
      <c r="F21" s="22" t="str">
        <f>VLOOKUP(A21,[1]CPS!A20:AG204,4,FALSE)</f>
        <v>JOSÉ LUIS CALDERON MANRIQUE</v>
      </c>
      <c r="G21" s="26">
        <f>VLOOKUP(A21,[1]CPS!A20:AU204,43,FALSE)</f>
        <v>44581</v>
      </c>
      <c r="H21" s="22" t="str">
        <f>VLOOKUP(A21,[1]CPS!A20:AG204,9,FALSE)</f>
        <v>Prestación de servicios técnicos y de apoyo a la gestión para realizar acciones de prevención, vigilancia y ordenamiento que contribuyan al posicionamiento y conservación del Parque Serranía de Chiribiquete</v>
      </c>
      <c r="I21" s="27" t="s">
        <v>69</v>
      </c>
      <c r="J21" s="22" t="s">
        <v>70</v>
      </c>
      <c r="K21" s="25" t="s">
        <v>71</v>
      </c>
      <c r="L21" s="28">
        <f>VLOOKUP(A21,[1]CPS!A20:AG204,16,FALSE)</f>
        <v>7222</v>
      </c>
      <c r="M21" s="28">
        <f>VLOOKUP(A21,[1]CPS!A20:AG204,18,FALSE)</f>
        <v>6122</v>
      </c>
      <c r="N21" s="29">
        <f>VLOOKUP(A21,[1]CPS!A20:AG204,19,FALSE)</f>
        <v>44583</v>
      </c>
      <c r="O21" s="22" t="str">
        <f>VLOOKUP(A21,[1]CPS!A20:AU204,46,FALSE)</f>
        <v>ADMINISTRACION</v>
      </c>
      <c r="P21" s="30">
        <f>VLOOKUP(A21,[1]CPS!A20:AG204,13,FALSE)</f>
        <v>1960000</v>
      </c>
      <c r="Q21" s="31">
        <f>VLOOKUP(A21,[1]CPS!A20:AG204,12,FALSE)</f>
        <v>21560000</v>
      </c>
      <c r="R21" s="32"/>
      <c r="S21" s="22" t="s">
        <v>72</v>
      </c>
      <c r="T21" s="22" t="s">
        <v>73</v>
      </c>
      <c r="U21" s="33">
        <f>VLOOKUP(A21,[1]CPS!A20:AG204,5,FALSE)</f>
        <v>1122678671</v>
      </c>
      <c r="V21" s="34" t="s">
        <v>74</v>
      </c>
      <c r="W21" s="21" t="s">
        <v>75</v>
      </c>
      <c r="X21" s="35" t="s">
        <v>71</v>
      </c>
      <c r="Y21" s="22" t="str">
        <f t="shared" si="0"/>
        <v>JOSÉ LUIS CALDERON MANRIQUE</v>
      </c>
      <c r="Z21" s="22" t="str">
        <f>VLOOKUP(A21,[1]CPS!A20:AU204,35,FALSE)</f>
        <v>6 NO CONSTITUYÓ GARANTÍAS</v>
      </c>
      <c r="AA21" s="25" t="str">
        <f>VLOOKUP(A21,[1]CPS!A20:AU204,37,FALSE)</f>
        <v>N/A</v>
      </c>
      <c r="AB21" s="55" t="s">
        <v>71</v>
      </c>
      <c r="AC21" s="56" t="str">
        <f>VLOOKUP(A21,[1]CPS!A20:AU204,38,FALSE)</f>
        <v>N/A</v>
      </c>
      <c r="AD21" s="55" t="str">
        <f>VLOOKUP(A21,[1]CPS!A20:AU204,39,FALSE)</f>
        <v>N/A</v>
      </c>
      <c r="AE21" s="22" t="str">
        <f>VLOOKUP(A21,[1]CPS!A20:AU204,36,FALSE)</f>
        <v>PNN Serranía de Chiribiquete</v>
      </c>
      <c r="AF21" s="22" t="s">
        <v>77</v>
      </c>
      <c r="AG21" s="22" t="s">
        <v>73</v>
      </c>
      <c r="AH21" s="38">
        <f>VLOOKUP(A21,[1]CPS!A20:AU204,41,FALSE)</f>
        <v>51665707</v>
      </c>
      <c r="AI21" s="22" t="str">
        <f>VLOOKUP(A21,[1]CPS!A20:AU204,29,FALSE)</f>
        <v xml:space="preserve">AYDA CRISTINA GARZON </v>
      </c>
      <c r="AJ21" s="25">
        <f>VLOOKUP(A21,[1]CPS!A20:AH204,34,FALSE)</f>
        <v>330</v>
      </c>
      <c r="AK21" s="22"/>
      <c r="AL21" s="54" t="str">
        <f>VLOOKUP(A21,[1]CPS!A20:AU204,40,FALSE)</f>
        <v>N/A</v>
      </c>
      <c r="AM21" s="41">
        <f>VLOOKUP(A21,[1]CPS!A20:AU204,44,FALSE)</f>
        <v>44583</v>
      </c>
      <c r="AN21" s="22" t="s">
        <v>78</v>
      </c>
      <c r="AO21" s="22">
        <v>0</v>
      </c>
      <c r="AP21" s="42">
        <v>0</v>
      </c>
      <c r="AQ21" s="43"/>
      <c r="AR21" s="44">
        <v>0</v>
      </c>
      <c r="AS21" s="43"/>
      <c r="AT21" s="45">
        <f>VLOOKUP(A21,[1]CPS!A20:AU204,25,FALSE)</f>
        <v>44583</v>
      </c>
      <c r="AU21" s="45">
        <f>VLOOKUP(A21,[1]CPS!A20:AU204,26,FALSE)</f>
        <v>44916</v>
      </c>
      <c r="AV21" s="23"/>
      <c r="AW21" s="22" t="s">
        <v>79</v>
      </c>
      <c r="AX21" s="22"/>
      <c r="AY21" s="22"/>
      <c r="AZ21" s="22" t="s">
        <v>79</v>
      </c>
      <c r="BA21" s="22">
        <v>0</v>
      </c>
      <c r="BB21" s="22"/>
      <c r="BC21" s="22"/>
      <c r="BD21" s="22"/>
      <c r="BE21" s="47"/>
      <c r="BF21" s="48">
        <f t="shared" si="1"/>
        <v>21560000</v>
      </c>
      <c r="BG21" s="49" t="str">
        <f>VLOOKUP(A21,[1]CPS!A20:AU204,2,FALSE)</f>
        <v>ALEJANDRO DELGADO LOZANO</v>
      </c>
      <c r="BH21" s="50" t="str">
        <f>VLOOKUP(A21,[1]CPS!A20:AU204,42,FALSE)</f>
        <v>https://www.secop.gov.co/CO1ContractsManagement/Tendering/ProcurementContractEdit/View?docUniqueIdentifier=CO1.PCCNTR.3330894</v>
      </c>
      <c r="BI21" s="22" t="s">
        <v>80</v>
      </c>
      <c r="BJ21" s="22"/>
      <c r="BK21" s="51" t="str">
        <f>VLOOKUP(A21,[1]CPS!A20:AU204,33,FALSE)</f>
        <v>https://community.secop.gov.co/Public/Tendering/OpportunityDetail/Index?noticeUID=CO1.NTC.2581340&amp;isFromPublicArea=True&amp;isModal=False</v>
      </c>
      <c r="BL21" s="52"/>
      <c r="BM21" s="52"/>
      <c r="BN21" s="22"/>
      <c r="BO21" s="53" t="s">
        <v>81</v>
      </c>
      <c r="BP21" s="22"/>
      <c r="BQ21" s="22"/>
      <c r="BR21" s="22"/>
    </row>
    <row r="22" spans="1:70" ht="12.75" customHeight="1">
      <c r="A22" s="21">
        <v>21</v>
      </c>
      <c r="B22" s="22" t="s">
        <v>101</v>
      </c>
      <c r="C22" s="23" t="s">
        <v>68</v>
      </c>
      <c r="D22" s="24" t="str">
        <f>VLOOKUP(A22,[1]CPS!A21:AG205,3,FALSE)</f>
        <v>CD-DTAM NACION-CPS No. 021 - 2022</v>
      </c>
      <c r="E22" s="25">
        <v>21</v>
      </c>
      <c r="F22" s="22" t="str">
        <f>VLOOKUP(A22,[1]CPS!A21:AG205,4,FALSE)</f>
        <v>CARLOS ALBERTO CALDERON MANRIQUE</v>
      </c>
      <c r="G22" s="26">
        <f>VLOOKUP(A22,[1]CPS!A21:AU205,43,FALSE)</f>
        <v>44581</v>
      </c>
      <c r="H22" s="22" t="str">
        <f>VLOOKUP(A22,[1]CPS!A21:AG205,9,FALSE)</f>
        <v>Prestación de servicios operativos y de apoyo a la gestión del del personal técnico y profesional en procesos administrativos y en el desarrollo de acciones enmarcadas en las diferentes líneas de trabajo que aporten al control de las presiones y amenazas que afecten el Parque Nacional Natural Serranía de Chiribiquete.</v>
      </c>
      <c r="I22" s="27" t="s">
        <v>69</v>
      </c>
      <c r="J22" s="22" t="s">
        <v>70</v>
      </c>
      <c r="K22" s="25" t="s">
        <v>71</v>
      </c>
      <c r="L22" s="28">
        <f>VLOOKUP(A22,[1]CPS!A21:AG205,16,FALSE)</f>
        <v>6222</v>
      </c>
      <c r="M22" s="28">
        <f>VLOOKUP(A22,[1]CPS!A21:AG205,18,FALSE)</f>
        <v>6222</v>
      </c>
      <c r="N22" s="29">
        <f>VLOOKUP(A22,[1]CPS!A21:AG205,19,FALSE)</f>
        <v>44583</v>
      </c>
      <c r="O22" s="22" t="str">
        <f>VLOOKUP(A22,[1]CPS!A21:AU205,46,FALSE)</f>
        <v>ADMINISTRACION</v>
      </c>
      <c r="P22" s="30">
        <f>VLOOKUP(A22,[1]CPS!A21:AG205,13,FALSE)</f>
        <v>1412000</v>
      </c>
      <c r="Q22" s="31">
        <f>VLOOKUP(A22,[1]CPS!A21:AG205,12,FALSE)</f>
        <v>15532000</v>
      </c>
      <c r="R22" s="32"/>
      <c r="S22" s="22" t="s">
        <v>72</v>
      </c>
      <c r="T22" s="22" t="s">
        <v>73</v>
      </c>
      <c r="U22" s="33">
        <f>VLOOKUP(A22,[1]CPS!A21:AG205,5,FALSE)</f>
        <v>1122139404</v>
      </c>
      <c r="V22" s="34" t="s">
        <v>74</v>
      </c>
      <c r="W22" s="21" t="s">
        <v>75</v>
      </c>
      <c r="X22" s="35" t="s">
        <v>71</v>
      </c>
      <c r="Y22" s="22" t="str">
        <f t="shared" si="0"/>
        <v>CARLOS ALBERTO CALDERON MANRIQUE</v>
      </c>
      <c r="Z22" s="22" t="str">
        <f>VLOOKUP(A22,[1]CPS!A21:AU205,35,FALSE)</f>
        <v>6 NO CONSTITUYÓ GARANTÍAS</v>
      </c>
      <c r="AA22" s="25" t="str">
        <f>VLOOKUP(A22,[1]CPS!A21:AU205,37,FALSE)</f>
        <v>N/A</v>
      </c>
      <c r="AB22" s="55" t="s">
        <v>71</v>
      </c>
      <c r="AC22" s="56" t="str">
        <f>VLOOKUP(A22,[1]CPS!A21:AU205,38,FALSE)</f>
        <v>N/A</v>
      </c>
      <c r="AD22" s="55" t="str">
        <f>VLOOKUP(A22,[1]CPS!A21:AU205,39,FALSE)</f>
        <v>N/A</v>
      </c>
      <c r="AE22" s="22" t="str">
        <f>VLOOKUP(A22,[1]CPS!A21:AU205,36,FALSE)</f>
        <v>PNN Serranía de Chiribiquete</v>
      </c>
      <c r="AF22" s="22" t="s">
        <v>77</v>
      </c>
      <c r="AG22" s="22" t="s">
        <v>73</v>
      </c>
      <c r="AH22" s="38">
        <f>VLOOKUP(A22,[1]CPS!A21:AU205,41,FALSE)</f>
        <v>51665707</v>
      </c>
      <c r="AI22" s="22" t="str">
        <f>VLOOKUP(A22,[1]CPS!A21:AU205,29,FALSE)</f>
        <v xml:space="preserve">AYDA CRISTINA GARZON </v>
      </c>
      <c r="AJ22" s="25">
        <f>VLOOKUP(A22,[1]CPS!A21:AH205,34,FALSE)</f>
        <v>330</v>
      </c>
      <c r="AK22" s="22"/>
      <c r="AL22" s="54" t="str">
        <f>VLOOKUP(A22,[1]CPS!A21:AU205,40,FALSE)</f>
        <v>N/A</v>
      </c>
      <c r="AM22" s="41">
        <f>VLOOKUP(A22,[1]CPS!A21:AU205,44,FALSE)</f>
        <v>44583</v>
      </c>
      <c r="AN22" s="22" t="s">
        <v>78</v>
      </c>
      <c r="AO22" s="22">
        <v>0</v>
      </c>
      <c r="AP22" s="42">
        <v>0</v>
      </c>
      <c r="AQ22" s="43"/>
      <c r="AR22" s="44">
        <v>0</v>
      </c>
      <c r="AS22" s="43"/>
      <c r="AT22" s="45">
        <f>VLOOKUP(A22,[1]CPS!A21:AU205,25,FALSE)</f>
        <v>44583</v>
      </c>
      <c r="AU22" s="45">
        <f>VLOOKUP(A22,[1]CPS!A21:AU205,26,FALSE)</f>
        <v>44916</v>
      </c>
      <c r="AV22" s="46"/>
      <c r="AW22" s="22" t="s">
        <v>79</v>
      </c>
      <c r="AX22" s="22"/>
      <c r="AY22" s="22"/>
      <c r="AZ22" s="22" t="s">
        <v>79</v>
      </c>
      <c r="BA22" s="22">
        <v>0</v>
      </c>
      <c r="BB22" s="22"/>
      <c r="BC22" s="22"/>
      <c r="BD22" s="22"/>
      <c r="BE22" s="47"/>
      <c r="BF22" s="48">
        <f t="shared" si="1"/>
        <v>15532000</v>
      </c>
      <c r="BG22" s="49" t="str">
        <f>VLOOKUP(A22,[1]CPS!A21:AU205,2,FALSE)</f>
        <v>ALEJANDRO DELGADO LOZANO</v>
      </c>
      <c r="BH22" s="50" t="str">
        <f>VLOOKUP(A22,[1]CPS!A21:AU205,42,FALSE)</f>
        <v>https://www.secop.gov.co/CO1ContractsManagement/Tendering/ProcurementContractEdit/View?docUniqueIdentifier=CO1.PCCNTR.3331424</v>
      </c>
      <c r="BI22" s="22" t="s">
        <v>80</v>
      </c>
      <c r="BJ22" s="22"/>
      <c r="BK22" s="51" t="str">
        <f>VLOOKUP(A22,[1]CPS!A21:AU205,33,FALSE)</f>
        <v>https://community.secop.gov.co/Public/Tendering/OpportunityDetail/Index?noticeUID=CO1.NTC.2581420&amp;isFromPublicArea=True&amp;isModal=False</v>
      </c>
      <c r="BL22" s="52"/>
      <c r="BM22" s="52"/>
      <c r="BN22" s="22"/>
      <c r="BO22" s="53" t="s">
        <v>81</v>
      </c>
      <c r="BP22" s="22"/>
      <c r="BQ22" s="22"/>
      <c r="BR22" s="22"/>
    </row>
    <row r="23" spans="1:70" ht="12.75" customHeight="1">
      <c r="A23" s="21">
        <v>22</v>
      </c>
      <c r="B23" s="22" t="s">
        <v>102</v>
      </c>
      <c r="C23" s="23" t="s">
        <v>68</v>
      </c>
      <c r="D23" s="24" t="str">
        <f>VLOOKUP(A23,[1]CPS!A22:AG206,3,FALSE)</f>
        <v>CD-DTAM NACION-CPS No. 022 - 2022</v>
      </c>
      <c r="E23" s="25">
        <v>22</v>
      </c>
      <c r="F23" s="22" t="str">
        <f>VLOOKUP(A23,[1]CPS!A22:AG206,4,FALSE)</f>
        <v>HÉCTOR ANDRÉS PINZÓN CASTRO</v>
      </c>
      <c r="G23" s="26">
        <f>VLOOKUP(A23,[1]CPS!A22:AU206,43,FALSE)</f>
        <v>44581</v>
      </c>
      <c r="H23" s="22" t="str">
        <f>VLOOKUP(A23,[1]CPS!A22:AG206,9,FALSE)</f>
        <v>Prestación de servicios técnicos y de apoyo a la gestión para realizar acciones de prevención, vigilancia y ordenamiento que contribuyan al posicionamiento y conservación del Parque Serranía de Chiribiquete.</v>
      </c>
      <c r="I23" s="27" t="s">
        <v>69</v>
      </c>
      <c r="J23" s="22" t="s">
        <v>70</v>
      </c>
      <c r="K23" s="25" t="s">
        <v>71</v>
      </c>
      <c r="L23" s="58">
        <f>VLOOKUP(A23,[1]CPS!A22:AG206,16,FALSE)</f>
        <v>7122</v>
      </c>
      <c r="M23" s="28">
        <f>VLOOKUP(A23,[1]CPS!A22:AG206,18,FALSE)</f>
        <v>7122</v>
      </c>
      <c r="N23" s="29">
        <f>VLOOKUP(A23,[1]CPS!A22:AG206,19,FALSE)</f>
        <v>44585</v>
      </c>
      <c r="O23" s="22" t="str">
        <f>VLOOKUP(A23,[1]CPS!A22:AU206,46,FALSE)</f>
        <v>ADMINISTRACION</v>
      </c>
      <c r="P23" s="30">
        <f>VLOOKUP(A23,[1]CPS!A22:AG206,13,FALSE)</f>
        <v>2330000</v>
      </c>
      <c r="Q23" s="31">
        <f>VLOOKUP(A23,[1]CPS!A22:AG206,12,FALSE)</f>
        <v>25552334</v>
      </c>
      <c r="R23" s="32"/>
      <c r="S23" s="22" t="s">
        <v>72</v>
      </c>
      <c r="T23" s="22" t="s">
        <v>73</v>
      </c>
      <c r="U23" s="33">
        <f>VLOOKUP(A23,[1]CPS!A22:AG206,5,FALSE)</f>
        <v>1122677782</v>
      </c>
      <c r="V23" s="34" t="s">
        <v>74</v>
      </c>
      <c r="W23" s="21" t="s">
        <v>75</v>
      </c>
      <c r="X23" s="35" t="s">
        <v>71</v>
      </c>
      <c r="Y23" s="22" t="str">
        <f t="shared" si="0"/>
        <v>HÉCTOR ANDRÉS PINZÓN CASTRO</v>
      </c>
      <c r="Z23" s="22" t="str">
        <f>VLOOKUP(A23,[1]CPS!A22:AU206,35,FALSE)</f>
        <v>6 NO CONSTITUYÓ GARANTÍAS</v>
      </c>
      <c r="AA23" s="25" t="str">
        <f>VLOOKUP(A23,[1]CPS!A22:AU206,37,FALSE)</f>
        <v>N/A</v>
      </c>
      <c r="AB23" s="55" t="s">
        <v>71</v>
      </c>
      <c r="AC23" s="56" t="str">
        <f>VLOOKUP(A23,[1]CPS!A22:AU206,38,FALSE)</f>
        <v>N/A</v>
      </c>
      <c r="AD23" s="55" t="str">
        <f>VLOOKUP(A23,[1]CPS!A22:AU206,39,FALSE)</f>
        <v>N/A</v>
      </c>
      <c r="AE23" s="22" t="str">
        <f>VLOOKUP(A23,[1]CPS!A22:AU206,36,FALSE)</f>
        <v>PNN Serranía de Chiribiquete</v>
      </c>
      <c r="AF23" s="22" t="s">
        <v>77</v>
      </c>
      <c r="AG23" s="22" t="s">
        <v>73</v>
      </c>
      <c r="AH23" s="38">
        <f>VLOOKUP(A23,[1]CPS!A22:AU206,41,FALSE)</f>
        <v>51665707</v>
      </c>
      <c r="AI23" s="22" t="str">
        <f>VLOOKUP(A23,[1]CPS!A22:AU206,29,FALSE)</f>
        <v xml:space="preserve">AYDA CRISTINA GARZON </v>
      </c>
      <c r="AJ23" s="25">
        <f>VLOOKUP(A23,[1]CPS!A22:AH206,34,FALSE)</f>
        <v>329</v>
      </c>
      <c r="AK23" s="22"/>
      <c r="AL23" s="54" t="str">
        <f>VLOOKUP(A23,[1]CPS!A22:AU206,40,FALSE)</f>
        <v>N/A</v>
      </c>
      <c r="AM23" s="41">
        <f>VLOOKUP(A23,[1]CPS!A22:AU206,44,FALSE)</f>
        <v>44583</v>
      </c>
      <c r="AN23" s="22" t="s">
        <v>78</v>
      </c>
      <c r="AO23" s="22">
        <v>0</v>
      </c>
      <c r="AP23" s="42">
        <v>0</v>
      </c>
      <c r="AQ23" s="43"/>
      <c r="AR23" s="44">
        <v>0</v>
      </c>
      <c r="AS23" s="43"/>
      <c r="AT23" s="45">
        <f>VLOOKUP(A23,[1]CPS!A22:AU206,25,FALSE)</f>
        <v>44585</v>
      </c>
      <c r="AU23" s="45">
        <f>VLOOKUP(A23,[1]CPS!A22:AU206,26,FALSE)</f>
        <v>44917</v>
      </c>
      <c r="AV23" s="46"/>
      <c r="AW23" s="22" t="s">
        <v>79</v>
      </c>
      <c r="AX23" s="22"/>
      <c r="AY23" s="22"/>
      <c r="AZ23" s="22" t="s">
        <v>79</v>
      </c>
      <c r="BA23" s="22">
        <v>0</v>
      </c>
      <c r="BB23" s="22"/>
      <c r="BC23" s="22"/>
      <c r="BD23" s="22"/>
      <c r="BE23" s="47"/>
      <c r="BF23" s="59">
        <f t="shared" si="1"/>
        <v>25552334</v>
      </c>
      <c r="BG23" s="49" t="str">
        <f>VLOOKUP(A23,[1]CPS!A22:AU206,2,FALSE)</f>
        <v>ALEJANDRO DELGADO LOZANO</v>
      </c>
      <c r="BH23" s="22" t="str">
        <f>VLOOKUP(A23,[1]CPS!A22:AU206,42,FALSE)</f>
        <v>https://www.secop.gov.co/CO1ContractsManagement/Tendering/ProcurementContractEdit/View?docUniqueIdentifier=CO1.PCCNTR.3331645</v>
      </c>
      <c r="BI23" s="22" t="s">
        <v>80</v>
      </c>
      <c r="BJ23" s="22"/>
      <c r="BK23" s="51" t="str">
        <f>VLOOKUP(A23,[1]CPS!A22:AU206,33,FALSE)</f>
        <v>https://community.secop.gov.co/Public/Tendering/OpportunityDetail/Index?noticeUID=CO1.NTC.2581371&amp;isFromPublicArea=True&amp;isModal=False</v>
      </c>
      <c r="BL23" s="52"/>
      <c r="BM23" s="52"/>
      <c r="BN23" s="22"/>
      <c r="BO23" s="53" t="s">
        <v>81</v>
      </c>
      <c r="BP23" s="22"/>
      <c r="BQ23" s="22"/>
      <c r="BR23" s="22"/>
    </row>
    <row r="24" spans="1:70" ht="12.75" customHeight="1">
      <c r="A24" s="21">
        <v>23</v>
      </c>
      <c r="B24" s="22" t="s">
        <v>103</v>
      </c>
      <c r="C24" s="23" t="s">
        <v>68</v>
      </c>
      <c r="D24" s="24" t="str">
        <f>VLOOKUP(A24,[1]CPS!A23:AG207,3,FALSE)</f>
        <v>CD-DTAM NACION-CPS No. 023 - 2022</v>
      </c>
      <c r="E24" s="25">
        <v>23</v>
      </c>
      <c r="F24" s="22" t="str">
        <f>VLOOKUP(A24,[1]CPS!A23:AG207,4,FALSE)</f>
        <v>ALEJANDRA ALVAREZ RESTREPO</v>
      </c>
      <c r="G24" s="26">
        <f>VLOOKUP(A24,[1]CPS!A23:AU207,43,FALSE)</f>
        <v>44581</v>
      </c>
      <c r="H24" s="22" t="str">
        <f>VLOOKUP(A24,[1]CPS!A23:AG207,9,FALSE)</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I24" s="27" t="s">
        <v>69</v>
      </c>
      <c r="J24" s="22" t="s">
        <v>70</v>
      </c>
      <c r="K24" s="25" t="s">
        <v>71</v>
      </c>
      <c r="L24" s="28">
        <f>VLOOKUP(A24,[1]CPS!A23:AG207,16,FALSE)</f>
        <v>6422</v>
      </c>
      <c r="M24" s="28">
        <f>VLOOKUP(A24,[1]CPS!A23:AG207,18,FALSE)</f>
        <v>6422</v>
      </c>
      <c r="N24" s="29">
        <f>VLOOKUP(A24,[1]CPS!A23:AG207,19,FALSE)</f>
        <v>44583</v>
      </c>
      <c r="O24" s="22" t="str">
        <f>VLOOKUP(A24,[1]CPS!A23:AU207,46,FALSE)</f>
        <v>ADMINISTRACION</v>
      </c>
      <c r="P24" s="30">
        <f>VLOOKUP(A24,[1]CPS!A23:AG207,13,FALSE)</f>
        <v>1412000</v>
      </c>
      <c r="Q24" s="31">
        <f>VLOOKUP(A24,[1]CPS!A23:AG207,12,FALSE)</f>
        <v>15532000</v>
      </c>
      <c r="R24" s="32"/>
      <c r="S24" s="22" t="s">
        <v>72</v>
      </c>
      <c r="T24" s="22" t="s">
        <v>73</v>
      </c>
      <c r="U24" s="33">
        <f>VLOOKUP(A24,[1]CPS!A23:AG207,5,FALSE)</f>
        <v>1120579269</v>
      </c>
      <c r="V24" s="34" t="s">
        <v>74</v>
      </c>
      <c r="W24" s="21" t="s">
        <v>75</v>
      </c>
      <c r="X24" s="35" t="s">
        <v>71</v>
      </c>
      <c r="Y24" s="22" t="str">
        <f t="shared" si="0"/>
        <v>ALEJANDRA ALVAREZ RESTREPO</v>
      </c>
      <c r="Z24" s="22" t="str">
        <f>VLOOKUP(A24,[1]CPS!A23:AU207,35,FALSE)</f>
        <v>6 NO CONSTITUYÓ GARANTÍAS</v>
      </c>
      <c r="AA24" s="25" t="str">
        <f>VLOOKUP(A24,[1]CPS!A23:AU207,37,FALSE)</f>
        <v>N/A</v>
      </c>
      <c r="AB24" s="55" t="s">
        <v>71</v>
      </c>
      <c r="AC24" s="56" t="str">
        <f>VLOOKUP(A24,[1]CPS!A23:AU207,38,FALSE)</f>
        <v>N/A</v>
      </c>
      <c r="AD24" s="55" t="str">
        <f>VLOOKUP(A24,[1]CPS!A23:AU207,39,FALSE)</f>
        <v>N/A</v>
      </c>
      <c r="AE24" s="22" t="str">
        <f>VLOOKUP(A24,[1]CPS!A23:AU207,36,FALSE)</f>
        <v>PNN Serranía de Chiribiquete</v>
      </c>
      <c r="AF24" s="22" t="s">
        <v>77</v>
      </c>
      <c r="AG24" s="22" t="s">
        <v>73</v>
      </c>
      <c r="AH24" s="38">
        <f>VLOOKUP(A24,[1]CPS!A23:AU207,41,FALSE)</f>
        <v>51665707</v>
      </c>
      <c r="AI24" s="22" t="str">
        <f>VLOOKUP(A24,[1]CPS!A23:AU207,29,FALSE)</f>
        <v xml:space="preserve">AYDA CRISTINA GARZON </v>
      </c>
      <c r="AJ24" s="25">
        <f>VLOOKUP(A24,[1]CPS!A23:AH207,34,FALSE)</f>
        <v>330</v>
      </c>
      <c r="AK24" s="22"/>
      <c r="AL24" s="54" t="str">
        <f>VLOOKUP(A24,[1]CPS!A23:AU207,40,FALSE)</f>
        <v>N/A</v>
      </c>
      <c r="AM24" s="41">
        <f>VLOOKUP(A24,[1]CPS!A23:AU207,44,FALSE)</f>
        <v>44583</v>
      </c>
      <c r="AN24" s="22" t="s">
        <v>78</v>
      </c>
      <c r="AO24" s="22">
        <v>0</v>
      </c>
      <c r="AP24" s="42">
        <v>0</v>
      </c>
      <c r="AQ24" s="43"/>
      <c r="AR24" s="44">
        <v>0</v>
      </c>
      <c r="AS24" s="43"/>
      <c r="AT24" s="45">
        <f>VLOOKUP(A24,[1]CPS!A23:AU207,25,FALSE)</f>
        <v>44583</v>
      </c>
      <c r="AU24" s="45">
        <f>VLOOKUP(A24,[1]CPS!A23:AU207,26,FALSE)</f>
        <v>44916</v>
      </c>
      <c r="AV24" s="46"/>
      <c r="AW24" s="22" t="s">
        <v>79</v>
      </c>
      <c r="AX24" s="22"/>
      <c r="AY24" s="22"/>
      <c r="AZ24" s="22" t="s">
        <v>79</v>
      </c>
      <c r="BA24" s="22">
        <v>0</v>
      </c>
      <c r="BB24" s="22"/>
      <c r="BC24" s="22"/>
      <c r="BD24" s="22"/>
      <c r="BE24" s="47"/>
      <c r="BF24" s="59">
        <f t="shared" si="1"/>
        <v>15532000</v>
      </c>
      <c r="BG24" s="49" t="str">
        <f>VLOOKUP(A24,[1]CPS!A23:AU207,2,FALSE)</f>
        <v>ALEJANDRO DELGADO LOZANO</v>
      </c>
      <c r="BH24" s="50" t="str">
        <f>VLOOKUP(A24,[1]CPS!A23:AU207,42,FALSE)</f>
        <v>https://www.secop.gov.co/CO1ContractsManagement/Tendering/ProcurementContractEdit/View?docUniqueIdentifier=CO1.PCCNTR.3332342</v>
      </c>
      <c r="BI24" s="22" t="s">
        <v>80</v>
      </c>
      <c r="BJ24" s="22"/>
      <c r="BK24" s="51" t="str">
        <f>VLOOKUP(A24,[1]CPS!A23:AU207,33,FALSE)</f>
        <v>https://community.secop.gov.co/Public/Tendering/OpportunityDetail/Index?noticeUID=CO1.NTC.2583801&amp;isFromPublicArea=True&amp;isModal=False</v>
      </c>
      <c r="BL24" s="52"/>
      <c r="BM24" s="52"/>
      <c r="BN24" s="22"/>
      <c r="BO24" s="53" t="s">
        <v>81</v>
      </c>
      <c r="BP24" s="22"/>
      <c r="BQ24" s="22"/>
      <c r="BR24" s="22"/>
    </row>
    <row r="25" spans="1:70" ht="12.75" customHeight="1">
      <c r="A25" s="21">
        <v>24</v>
      </c>
      <c r="B25" s="22" t="s">
        <v>104</v>
      </c>
      <c r="C25" s="23" t="s">
        <v>68</v>
      </c>
      <c r="D25" s="24" t="str">
        <f>VLOOKUP(A25,[1]CPS!A24:AG208,3,FALSE)</f>
        <v>CD-DTAM NACION-CPS No. 024 - 2022</v>
      </c>
      <c r="E25" s="25">
        <v>24</v>
      </c>
      <c r="F25" s="22" t="str">
        <f>VLOOKUP(A25,[1]CPS!A24:AG208,4,FALSE)</f>
        <v>JOSE OMAR MORA JARAMILLO</v>
      </c>
      <c r="G25" s="26">
        <f>VLOOKUP(A25,[1]CPS!A24:AU208,43,FALSE)</f>
        <v>44581</v>
      </c>
      <c r="H25" s="22" t="str">
        <f>VLOOKUP(A25,[1]CPS!A24:AG208,9,FALSE)</f>
        <v>Prestación de servicios técnicos y de apoyo a la gestión para realizar acciones de prevención, vigilancia y ordenamiento que contribuyan al posicionamiento y conservación del Parque Serranía de Chiribiquete.</v>
      </c>
      <c r="I25" s="27" t="s">
        <v>69</v>
      </c>
      <c r="J25" s="22" t="s">
        <v>70</v>
      </c>
      <c r="K25" s="25" t="s">
        <v>71</v>
      </c>
      <c r="L25" s="28">
        <f>VLOOKUP(A25,[1]CPS!A24:AG208,16,FALSE)</f>
        <v>7422</v>
      </c>
      <c r="M25" s="28">
        <f>VLOOKUP(A25,[1]CPS!A24:AG208,18,FALSE)</f>
        <v>6322</v>
      </c>
      <c r="N25" s="29">
        <f>VLOOKUP(A25,[1]CPS!A24:AG208,19,FALSE)</f>
        <v>44583</v>
      </c>
      <c r="O25" s="22" t="str">
        <f>VLOOKUP(A25,[1]CPS!A24:AU208,46,FALSE)</f>
        <v>ADMINISTRACION</v>
      </c>
      <c r="P25" s="30">
        <f>VLOOKUP(A25,[1]CPS!A24:AG208,13,FALSE)</f>
        <v>1960000</v>
      </c>
      <c r="Q25" s="31">
        <f>VLOOKUP(A25,[1]CPS!A24:AG208,12,FALSE)</f>
        <v>21560000</v>
      </c>
      <c r="R25" s="32"/>
      <c r="S25" s="22" t="s">
        <v>72</v>
      </c>
      <c r="T25" s="22" t="s">
        <v>73</v>
      </c>
      <c r="U25" s="33">
        <f>VLOOKUP(A25,[1]CPS!A24:AG208,5,FALSE)</f>
        <v>17674137</v>
      </c>
      <c r="V25" s="34" t="s">
        <v>74</v>
      </c>
      <c r="W25" s="21" t="s">
        <v>75</v>
      </c>
      <c r="X25" s="35" t="s">
        <v>71</v>
      </c>
      <c r="Y25" s="22" t="str">
        <f t="shared" si="0"/>
        <v>JOSE OMAR MORA JARAMILLO</v>
      </c>
      <c r="Z25" s="22" t="str">
        <f>VLOOKUP(A25,[1]CPS!A24:AU208,35,FALSE)</f>
        <v>6 NO CONSTITUYÓ GARANTÍAS</v>
      </c>
      <c r="AA25" s="25" t="str">
        <f>VLOOKUP(A25,[1]CPS!A24:AU208,37,FALSE)</f>
        <v>N/A</v>
      </c>
      <c r="AB25" s="55" t="s">
        <v>71</v>
      </c>
      <c r="AC25" s="56" t="str">
        <f>VLOOKUP(A25,[1]CPS!A24:AU208,38,FALSE)</f>
        <v>N/A</v>
      </c>
      <c r="AD25" s="55" t="str">
        <f>VLOOKUP(A25,[1]CPS!A24:AU208,39,FALSE)</f>
        <v>N/A</v>
      </c>
      <c r="AE25" s="22" t="str">
        <f>VLOOKUP(A25,[1]CPS!A24:AU208,36,FALSE)</f>
        <v>PNN Serranía de Chiribiquete</v>
      </c>
      <c r="AF25" s="22" t="s">
        <v>77</v>
      </c>
      <c r="AG25" s="22" t="s">
        <v>73</v>
      </c>
      <c r="AH25" s="38">
        <f>VLOOKUP(A25,[1]CPS!A24:AU208,41,FALSE)</f>
        <v>51665707</v>
      </c>
      <c r="AI25" s="22" t="str">
        <f>VLOOKUP(A25,[1]CPS!A24:AU208,29,FALSE)</f>
        <v xml:space="preserve">AYDA CRISTINA GARZON </v>
      </c>
      <c r="AJ25" s="25">
        <f>VLOOKUP(A25,[1]CPS!A24:AH208,34,FALSE)</f>
        <v>330</v>
      </c>
      <c r="AK25" s="22"/>
      <c r="AL25" s="54" t="str">
        <f>VLOOKUP(A25,[1]CPS!A24:AU208,40,FALSE)</f>
        <v>N/A</v>
      </c>
      <c r="AM25" s="41">
        <f>VLOOKUP(A25,[1]CPS!A24:AU208,44,FALSE)</f>
        <v>44583</v>
      </c>
      <c r="AN25" s="22" t="s">
        <v>78</v>
      </c>
      <c r="AO25" s="22">
        <v>0</v>
      </c>
      <c r="AP25" s="42">
        <v>0</v>
      </c>
      <c r="AQ25" s="43"/>
      <c r="AR25" s="44">
        <v>0</v>
      </c>
      <c r="AS25" s="43"/>
      <c r="AT25" s="45">
        <f>VLOOKUP(A25,[1]CPS!A24:AU208,25,FALSE)</f>
        <v>44583</v>
      </c>
      <c r="AU25" s="45">
        <f>VLOOKUP(A25,[1]CPS!A24:AU208,26,FALSE)</f>
        <v>44916</v>
      </c>
      <c r="AV25" s="46"/>
      <c r="AW25" s="22" t="s">
        <v>79</v>
      </c>
      <c r="AX25" s="22"/>
      <c r="AY25" s="22"/>
      <c r="AZ25" s="22" t="s">
        <v>79</v>
      </c>
      <c r="BA25" s="22">
        <v>0</v>
      </c>
      <c r="BB25" s="22"/>
      <c r="BC25" s="22"/>
      <c r="BD25" s="22"/>
      <c r="BE25" s="47"/>
      <c r="BF25" s="59">
        <f t="shared" si="1"/>
        <v>21560000</v>
      </c>
      <c r="BG25" s="49" t="str">
        <f>VLOOKUP(A25,[1]CPS!A24:AU208,2,FALSE)</f>
        <v>ALEJANDRO DELGADO LOZANO</v>
      </c>
      <c r="BH25" s="50" t="str">
        <f>VLOOKUP(A25,[1]CPS!A24:AU208,42,FALSE)</f>
        <v>https://www.secop.gov.co/CO1ContractsManagement/Tendering/ProcurementContractEdit/View?docUniqueIdentifier=CO1.PCCNTR.3333736</v>
      </c>
      <c r="BI25" s="22" t="s">
        <v>80</v>
      </c>
      <c r="BJ25" s="22"/>
      <c r="BK25" s="51" t="str">
        <f>VLOOKUP(A25,[1]CPS!A24:AU208,33,FALSE)</f>
        <v>https://community.secop.gov.co/Public/Tendering/OpportunityDetail/Index?noticeUID=CO1.NTC.2583803&amp;isFromPublicArea=True&amp;isModal=False</v>
      </c>
      <c r="BL25" s="52"/>
      <c r="BM25" s="52"/>
      <c r="BN25" s="22"/>
      <c r="BO25" s="53" t="s">
        <v>81</v>
      </c>
      <c r="BP25" s="22"/>
      <c r="BQ25" s="22"/>
      <c r="BR25" s="22"/>
    </row>
    <row r="26" spans="1:70" ht="12.75" customHeight="1">
      <c r="A26" s="21">
        <v>25</v>
      </c>
      <c r="B26" s="22" t="s">
        <v>105</v>
      </c>
      <c r="C26" s="23" t="s">
        <v>68</v>
      </c>
      <c r="D26" s="24" t="str">
        <f>VLOOKUP(A26,[1]CPS!A25:AG209,3,FALSE)</f>
        <v>CD-DTAM NACION-CPS No. 025 - 2022</v>
      </c>
      <c r="E26" s="25">
        <v>25</v>
      </c>
      <c r="F26" s="22" t="str">
        <f>VLOOKUP(A26,[1]CPS!A25:AG209,4,FALSE)</f>
        <v>LUIS CARLOS JIMENEZ VARCO</v>
      </c>
      <c r="G26" s="26">
        <f>VLOOKUP(A26,[1]CPS!A25:AU209,43,FALSE)</f>
        <v>44581</v>
      </c>
      <c r="H26" s="22" t="str">
        <f>VLOOKUP(A26,[1]CPS!A25:AG209,9,FALSE)</f>
        <v>Prestación de servicios técnicos y de apoyo a la gestión para realizar acciones de prevención, vigilancia y ordenamiento que contribuyan al posicionamiento y conservación del Parque Serranía de Chiribiquete.</v>
      </c>
      <c r="I26" s="27" t="s">
        <v>69</v>
      </c>
      <c r="J26" s="22" t="s">
        <v>70</v>
      </c>
      <c r="K26" s="25" t="s">
        <v>71</v>
      </c>
      <c r="L26" s="28">
        <f>VLOOKUP(A26,[1]CPS!A25:AG209,16,FALSE)</f>
        <v>7522</v>
      </c>
      <c r="M26" s="28">
        <f>VLOOKUP(A26,[1]CPS!A25:AG209,18,FALSE)</f>
        <v>5722</v>
      </c>
      <c r="N26" s="29">
        <f>VLOOKUP(A26,[1]CPS!A25:AG209,19,FALSE)</f>
        <v>44583</v>
      </c>
      <c r="O26" s="22" t="str">
        <f>VLOOKUP(A26,[1]CPS!A25:AU209,46,FALSE)</f>
        <v>ADMINISTRACION</v>
      </c>
      <c r="P26" s="30">
        <f>VLOOKUP(A26,[1]CPS!A25:AG209,13,FALSE)</f>
        <v>1960000</v>
      </c>
      <c r="Q26" s="31">
        <f>VLOOKUP(A26,[1]CPS!A25:AG209,12,FALSE)</f>
        <v>21560000</v>
      </c>
      <c r="R26" s="32"/>
      <c r="S26" s="22" t="s">
        <v>72</v>
      </c>
      <c r="T26" s="22" t="s">
        <v>73</v>
      </c>
      <c r="U26" s="33">
        <f>VLOOKUP(A26,[1]CPS!A25:AG209,5,FALSE)</f>
        <v>17652974</v>
      </c>
      <c r="V26" s="34" t="s">
        <v>74</v>
      </c>
      <c r="W26" s="21" t="s">
        <v>75</v>
      </c>
      <c r="X26" s="35" t="s">
        <v>71</v>
      </c>
      <c r="Y26" s="22" t="str">
        <f t="shared" si="0"/>
        <v>LUIS CARLOS JIMENEZ VARCO</v>
      </c>
      <c r="Z26" s="22" t="str">
        <f>VLOOKUP(A26,[1]CPS!A25:AU209,35,FALSE)</f>
        <v>6 NO CONSTITUYÓ GARANTÍAS</v>
      </c>
      <c r="AA26" s="25" t="str">
        <f>VLOOKUP(A26,[1]CPS!A25:AU209,37,FALSE)</f>
        <v>N/A</v>
      </c>
      <c r="AB26" s="55" t="s">
        <v>71</v>
      </c>
      <c r="AC26" s="56" t="str">
        <f>VLOOKUP(A26,[1]CPS!A25:AU209,38,FALSE)</f>
        <v>N/A</v>
      </c>
      <c r="AD26" s="55" t="str">
        <f>VLOOKUP(A26,[1]CPS!A25:AU209,39,FALSE)</f>
        <v>N/A</v>
      </c>
      <c r="AE26" s="22" t="str">
        <f>VLOOKUP(A26,[1]CPS!A25:AU209,36,FALSE)</f>
        <v>PNN Serranía de Chiribiquete</v>
      </c>
      <c r="AF26" s="22" t="s">
        <v>77</v>
      </c>
      <c r="AG26" s="22" t="s">
        <v>73</v>
      </c>
      <c r="AH26" s="38">
        <f>VLOOKUP(A26,[1]CPS!A25:AU209,41,FALSE)</f>
        <v>51665707</v>
      </c>
      <c r="AI26" s="22" t="str">
        <f>VLOOKUP(A26,[1]CPS!A25:AU209,29,FALSE)</f>
        <v xml:space="preserve">AYDA CRISTINA GARZON </v>
      </c>
      <c r="AJ26" s="25">
        <f>VLOOKUP(A26,[1]CPS!A25:AH209,34,FALSE)</f>
        <v>330</v>
      </c>
      <c r="AK26" s="22"/>
      <c r="AL26" s="54" t="str">
        <f>VLOOKUP(A26,[1]CPS!A25:AU209,40,FALSE)</f>
        <v>N/A</v>
      </c>
      <c r="AM26" s="41">
        <f>VLOOKUP(A26,[1]CPS!A25:AU209,44,FALSE)</f>
        <v>44583</v>
      </c>
      <c r="AN26" s="22" t="s">
        <v>78</v>
      </c>
      <c r="AO26" s="22">
        <v>0</v>
      </c>
      <c r="AP26" s="42">
        <v>0</v>
      </c>
      <c r="AQ26" s="43"/>
      <c r="AR26" s="44">
        <v>0</v>
      </c>
      <c r="AS26" s="43"/>
      <c r="AT26" s="45">
        <f>VLOOKUP(A26,[1]CPS!A25:AU209,25,FALSE)</f>
        <v>44583</v>
      </c>
      <c r="AU26" s="45">
        <f>VLOOKUP(A26,[1]CPS!A25:AU209,26,FALSE)</f>
        <v>44916</v>
      </c>
      <c r="AV26" s="46"/>
      <c r="AW26" s="22" t="s">
        <v>79</v>
      </c>
      <c r="AX26" s="22"/>
      <c r="AY26" s="22"/>
      <c r="AZ26" s="22" t="s">
        <v>79</v>
      </c>
      <c r="BA26" s="22">
        <v>0</v>
      </c>
      <c r="BB26" s="22"/>
      <c r="BC26" s="22"/>
      <c r="BD26" s="22"/>
      <c r="BE26" s="47"/>
      <c r="BF26" s="59">
        <f t="shared" si="1"/>
        <v>21560000</v>
      </c>
      <c r="BG26" s="49" t="str">
        <f>VLOOKUP(A26,[1]CPS!A25:AU209,2,FALSE)</f>
        <v>ALEJANDRO DELGADO LOZANO</v>
      </c>
      <c r="BH26" s="50" t="str">
        <f>VLOOKUP(A26,[1]CPS!A25:AU209,42,FALSE)</f>
        <v>https://www.secop.gov.co/CO1ContractsManagement/Tendering/ProcurementContractEdit/View?docUniqueIdentifier=CO1.PCCNTR.3334166</v>
      </c>
      <c r="BI26" s="22" t="s">
        <v>80</v>
      </c>
      <c r="BJ26" s="22"/>
      <c r="BK26" s="51" t="str">
        <f>VLOOKUP(A26,[1]CPS!A25:AU209,33,FALSE)</f>
        <v>https://community.secop.gov.co/Public/Tendering/OpportunityDetail/Index?noticeUID=CO1.NTC.2583808&amp;isFromPublicArea=True&amp;isModal=False</v>
      </c>
      <c r="BL26" s="52"/>
      <c r="BM26" s="52"/>
      <c r="BN26" s="22"/>
      <c r="BO26" s="53" t="s">
        <v>81</v>
      </c>
      <c r="BP26" s="22"/>
      <c r="BQ26" s="22"/>
      <c r="BR26" s="22"/>
    </row>
    <row r="27" spans="1:70" ht="12.75" customHeight="1">
      <c r="A27" s="21">
        <v>26</v>
      </c>
      <c r="B27" s="22" t="s">
        <v>106</v>
      </c>
      <c r="C27" s="23" t="s">
        <v>68</v>
      </c>
      <c r="D27" s="24" t="str">
        <f>VLOOKUP(A27,[1]CPS!A26:AG210,3,FALSE)</f>
        <v>CD-DTAM NACION-CPS No. 026 - 2022</v>
      </c>
      <c r="E27" s="25">
        <v>26</v>
      </c>
      <c r="F27" s="22" t="str">
        <f>VLOOKUP(A27,[1]CPS!A26:AG210,4,FALSE)</f>
        <v>BREIDY CLAVIJO DAVILA</v>
      </c>
      <c r="G27" s="26">
        <f>VLOOKUP(A27,[1]CPS!A26:AU210,43,FALSE)</f>
        <v>44581</v>
      </c>
      <c r="H27" s="22" t="str">
        <f>VLOOKUP(A27,[1]CPS!A26:AG210,9,FALSE)</f>
        <v>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v>
      </c>
      <c r="I27" s="27" t="s">
        <v>69</v>
      </c>
      <c r="J27" s="22" t="s">
        <v>70</v>
      </c>
      <c r="K27" s="25" t="s">
        <v>71</v>
      </c>
      <c r="L27" s="28">
        <f>VLOOKUP(A27,[1]CPS!A26:AG210,16,FALSE)</f>
        <v>6722</v>
      </c>
      <c r="M27" s="28">
        <f>VLOOKUP(A27,[1]CPS!A26:AG210,18,FALSE)</f>
        <v>6522</v>
      </c>
      <c r="N27" s="29">
        <f>VLOOKUP(A27,[1]CPS!A26:AG210,19,FALSE)</f>
        <v>44583</v>
      </c>
      <c r="O27" s="22" t="str">
        <f>VLOOKUP(A27,[1]CPS!A26:AU210,46,FALSE)</f>
        <v>ADMINISTRACION</v>
      </c>
      <c r="P27" s="30">
        <f>VLOOKUP(A27,[1]CPS!A26:AG210,13,FALSE)</f>
        <v>1412000</v>
      </c>
      <c r="Q27" s="31">
        <f>VLOOKUP(A27,[1]CPS!A26:AG210,12,FALSE)</f>
        <v>15532000</v>
      </c>
      <c r="R27" s="32"/>
      <c r="S27" s="22" t="s">
        <v>72</v>
      </c>
      <c r="T27" s="22" t="s">
        <v>73</v>
      </c>
      <c r="U27" s="33">
        <f>VLOOKUP(A27,[1]CPS!A26:AG210,5,FALSE)</f>
        <v>1075263644</v>
      </c>
      <c r="V27" s="34" t="s">
        <v>74</v>
      </c>
      <c r="W27" s="21" t="s">
        <v>75</v>
      </c>
      <c r="X27" s="35" t="s">
        <v>71</v>
      </c>
      <c r="Y27" s="22" t="str">
        <f t="shared" si="0"/>
        <v>BREIDY CLAVIJO DAVILA</v>
      </c>
      <c r="Z27" s="22" t="str">
        <f>VLOOKUP(A27,[1]CPS!A26:AU210,35,FALSE)</f>
        <v>6 NO CONSTITUYÓ GARANTÍAS</v>
      </c>
      <c r="AA27" s="25" t="str">
        <f>VLOOKUP(A27,[1]CPS!A26:AU210,37,FALSE)</f>
        <v>N/A</v>
      </c>
      <c r="AB27" s="55" t="s">
        <v>71</v>
      </c>
      <c r="AC27" s="56" t="str">
        <f>VLOOKUP(A27,[1]CPS!A26:AU210,38,FALSE)</f>
        <v>N/A</v>
      </c>
      <c r="AD27" s="55" t="str">
        <f>VLOOKUP(A27,[1]CPS!A26:AU210,39,FALSE)</f>
        <v>N/A</v>
      </c>
      <c r="AE27" s="22" t="str">
        <f>VLOOKUP(A27,[1]CPS!A26:AU210,36,FALSE)</f>
        <v>PNN Serranía de Chiribiquete</v>
      </c>
      <c r="AF27" s="22" t="s">
        <v>77</v>
      </c>
      <c r="AG27" s="22" t="s">
        <v>73</v>
      </c>
      <c r="AH27" s="38">
        <f>VLOOKUP(A27,[1]CPS!A26:AU210,41,FALSE)</f>
        <v>51665707</v>
      </c>
      <c r="AI27" s="22" t="str">
        <f>VLOOKUP(A27,[1]CPS!A26:AU210,29,FALSE)</f>
        <v xml:space="preserve">AYDA CRISTINA GARZON </v>
      </c>
      <c r="AJ27" s="25">
        <f>VLOOKUP(A27,[1]CPS!A26:AH210,34,FALSE)</f>
        <v>330</v>
      </c>
      <c r="AK27" s="22"/>
      <c r="AL27" s="54" t="str">
        <f>VLOOKUP(A27,[1]CPS!A26:AU210,40,FALSE)</f>
        <v>N/A</v>
      </c>
      <c r="AM27" s="41">
        <f>VLOOKUP(A27,[1]CPS!A26:AU210,44,FALSE)</f>
        <v>44583</v>
      </c>
      <c r="AN27" s="22" t="s">
        <v>78</v>
      </c>
      <c r="AO27" s="22">
        <v>0</v>
      </c>
      <c r="AP27" s="42">
        <v>0</v>
      </c>
      <c r="AQ27" s="43"/>
      <c r="AR27" s="44">
        <v>0</v>
      </c>
      <c r="AS27" s="43"/>
      <c r="AT27" s="45">
        <f>VLOOKUP(A27,[1]CPS!A26:AU210,25,FALSE)</f>
        <v>44583</v>
      </c>
      <c r="AU27" s="45">
        <f>VLOOKUP(A27,[1]CPS!A26:AU210,26,FALSE)</f>
        <v>44916</v>
      </c>
      <c r="AV27" s="46"/>
      <c r="AW27" s="22" t="s">
        <v>79</v>
      </c>
      <c r="AX27" s="22"/>
      <c r="AY27" s="22"/>
      <c r="AZ27" s="22" t="s">
        <v>79</v>
      </c>
      <c r="BA27" s="22">
        <v>0</v>
      </c>
      <c r="BB27" s="22"/>
      <c r="BC27" s="22"/>
      <c r="BD27" s="22"/>
      <c r="BE27" s="47"/>
      <c r="BF27" s="59">
        <f t="shared" si="1"/>
        <v>15532000</v>
      </c>
      <c r="BG27" s="49" t="str">
        <f>VLOOKUP(A27,[1]CPS!A26:AU210,2,FALSE)</f>
        <v>ALEJANDRO DELGADO LOZANO</v>
      </c>
      <c r="BH27" s="50" t="str">
        <f>VLOOKUP(A27,[1]CPS!A26:AU210,42,FALSE)</f>
        <v>https://www.secop.gov.co/CO1ContractsManagement/Tendering/ProcurementContractEdit/View?docUniqueIdentifier=CO1.PCCNTR.3334494</v>
      </c>
      <c r="BI27" s="22" t="s">
        <v>80</v>
      </c>
      <c r="BJ27" s="22"/>
      <c r="BK27" s="51" t="str">
        <f>VLOOKUP(A27,[1]CPS!A26:AU210,33,FALSE)</f>
        <v>https://community.secop.gov.co/Public/Tendering/OpportunityDetail/Index?noticeUID=CO1.NTC.2583809&amp;isFromPublicArea=True&amp;isModal=False</v>
      </c>
      <c r="BL27" s="52"/>
      <c r="BM27" s="52"/>
      <c r="BN27" s="22"/>
      <c r="BO27" s="53" t="s">
        <v>81</v>
      </c>
      <c r="BP27" s="22"/>
      <c r="BQ27" s="22"/>
      <c r="BR27" s="22"/>
    </row>
    <row r="28" spans="1:70" ht="12.75" customHeight="1">
      <c r="A28" s="21">
        <v>27</v>
      </c>
      <c r="B28" s="22" t="s">
        <v>107</v>
      </c>
      <c r="C28" s="23" t="s">
        <v>68</v>
      </c>
      <c r="D28" s="24" t="str">
        <f>VLOOKUP(A28,[1]CPS!A27:AG211,3,FALSE)</f>
        <v>CD-DTAM NACION-CPS No. 027 - 2022</v>
      </c>
      <c r="E28" s="25">
        <v>27</v>
      </c>
      <c r="F28" s="22" t="str">
        <f>VLOOKUP(A28,[1]CPS!A27:AG211,4,FALSE)</f>
        <v>JEFFERSON OSORIO MENDEZ</v>
      </c>
      <c r="G28" s="26">
        <f>VLOOKUP(A28,[1]CPS!A27:AU211,43,FALSE)</f>
        <v>44582</v>
      </c>
      <c r="H28" s="22" t="str">
        <f>VLOOKUP(A28,[1]CPS!A27:AG211,9,FALSE)</f>
        <v>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v>
      </c>
      <c r="I28" s="27" t="s">
        <v>69</v>
      </c>
      <c r="J28" s="22" t="s">
        <v>70</v>
      </c>
      <c r="K28" s="25" t="s">
        <v>71</v>
      </c>
      <c r="L28" s="28">
        <f>VLOOKUP(A28,[1]CPS!A27:AG211,16,FALSE)</f>
        <v>6622</v>
      </c>
      <c r="M28" s="28">
        <f>VLOOKUP(A28,[1]CPS!A27:AG211,18,FALSE)</f>
        <v>5922</v>
      </c>
      <c r="N28" s="29">
        <f>VLOOKUP(A28,[1]CPS!A27:AG211,19,FALSE)</f>
        <v>44583</v>
      </c>
      <c r="O28" s="22" t="str">
        <f>VLOOKUP(A28,[1]CPS!A27:AU211,46,FALSE)</f>
        <v>ADMINISTRACION</v>
      </c>
      <c r="P28" s="30">
        <f>VLOOKUP(A28,[1]CPS!A27:AG211,13,FALSE)</f>
        <v>1412000</v>
      </c>
      <c r="Q28" s="31">
        <f>VLOOKUP(A28,[1]CPS!A27:AG211,12,FALSE)</f>
        <v>15532000</v>
      </c>
      <c r="R28" s="32"/>
      <c r="S28" s="22" t="s">
        <v>72</v>
      </c>
      <c r="T28" s="22" t="s">
        <v>73</v>
      </c>
      <c r="U28" s="33">
        <f>VLOOKUP(A28,[1]CPS!A27:AG211,5,FALSE)</f>
        <v>1117497746</v>
      </c>
      <c r="V28" s="34" t="s">
        <v>74</v>
      </c>
      <c r="W28" s="21" t="s">
        <v>75</v>
      </c>
      <c r="X28" s="35" t="s">
        <v>71</v>
      </c>
      <c r="Y28" s="22" t="str">
        <f t="shared" si="0"/>
        <v>JEFFERSON OSORIO MENDEZ</v>
      </c>
      <c r="Z28" s="22" t="str">
        <f>VLOOKUP(A28,[1]CPS!A27:AU211,35,FALSE)</f>
        <v>6 NO CONSTITUYÓ GARANTÍAS</v>
      </c>
      <c r="AA28" s="25" t="str">
        <f>VLOOKUP(A28,[1]CPS!A27:AU211,37,FALSE)</f>
        <v>N/A</v>
      </c>
      <c r="AB28" s="55" t="s">
        <v>71</v>
      </c>
      <c r="AC28" s="56" t="str">
        <f>VLOOKUP(A28,[1]CPS!A27:AU211,38,FALSE)</f>
        <v>N/A</v>
      </c>
      <c r="AD28" s="55" t="str">
        <f>VLOOKUP(A28,[1]CPS!A27:AU211,39,FALSE)</f>
        <v>N/A</v>
      </c>
      <c r="AE28" s="22" t="str">
        <f>VLOOKUP(A28,[1]CPS!A27:AU211,36,FALSE)</f>
        <v>PNN Serranía de Chiribiquete</v>
      </c>
      <c r="AF28" s="22" t="s">
        <v>77</v>
      </c>
      <c r="AG28" s="22" t="s">
        <v>73</v>
      </c>
      <c r="AH28" s="38">
        <f>VLOOKUP(A28,[1]CPS!A27:AU211,41,FALSE)</f>
        <v>51665707</v>
      </c>
      <c r="AI28" s="22" t="str">
        <f>VLOOKUP(A28,[1]CPS!A27:AU211,29,FALSE)</f>
        <v xml:space="preserve">AYDA CRISTINA GARZON </v>
      </c>
      <c r="AJ28" s="25">
        <f>VLOOKUP(A28,[1]CPS!A27:AH211,34,FALSE)</f>
        <v>330</v>
      </c>
      <c r="AK28" s="22"/>
      <c r="AL28" s="54" t="str">
        <f>VLOOKUP(A28,[1]CPS!A27:AU211,40,FALSE)</f>
        <v>N/A</v>
      </c>
      <c r="AM28" s="57">
        <f>VLOOKUP(A28,[1]CPS!A27:AU211,44,FALSE)</f>
        <v>44594</v>
      </c>
      <c r="AN28" s="22" t="s">
        <v>78</v>
      </c>
      <c r="AO28" s="22">
        <v>0</v>
      </c>
      <c r="AP28" s="42">
        <v>0</v>
      </c>
      <c r="AQ28" s="43"/>
      <c r="AR28" s="44">
        <v>0</v>
      </c>
      <c r="AS28" s="43"/>
      <c r="AT28" s="45">
        <f>VLOOKUP(A28,[1]CPS!A27:AU211,25,FALSE)</f>
        <v>44583</v>
      </c>
      <c r="AU28" s="45">
        <f>VLOOKUP(A28,[1]CPS!A27:AU211,26,FALSE)</f>
        <v>44916</v>
      </c>
      <c r="AV28" s="46"/>
      <c r="AW28" s="22" t="s">
        <v>79</v>
      </c>
      <c r="AX28" s="22"/>
      <c r="AY28" s="22"/>
      <c r="AZ28" s="22" t="s">
        <v>79</v>
      </c>
      <c r="BA28" s="22">
        <v>0</v>
      </c>
      <c r="BB28" s="22"/>
      <c r="BC28" s="22"/>
      <c r="BD28" s="22"/>
      <c r="BE28" s="47"/>
      <c r="BF28" s="59">
        <f t="shared" si="1"/>
        <v>15532000</v>
      </c>
      <c r="BG28" s="49" t="str">
        <f>VLOOKUP(A28,[1]CPS!A27:AU211,2,FALSE)</f>
        <v>ALEJANDRO DELGADO LOZANO</v>
      </c>
      <c r="BH28" s="50" t="str">
        <f>VLOOKUP(A28,[1]CPS!A27:AU211,42,FALSE)</f>
        <v>https://www.secop.gov.co/CO1ContractsManagement/Tendering/ProcurementContractEdit/View?docUniqueIdentifier=CO1.PCCNTR.3335272</v>
      </c>
      <c r="BI28" s="22" t="s">
        <v>80</v>
      </c>
      <c r="BJ28" s="22"/>
      <c r="BK28" s="51" t="str">
        <f>VLOOKUP(A28,[1]CPS!A27:AU211,33,FALSE)</f>
        <v>https://community.secop.gov.co/Public/Tendering/OpportunityDetail/Index?noticeUID=CO1.NTC.2584006&amp;isFromPublicArea=True&amp;isModal=False</v>
      </c>
      <c r="BL28" s="52"/>
      <c r="BM28" s="52"/>
      <c r="BN28" s="22"/>
      <c r="BO28" s="53" t="s">
        <v>81</v>
      </c>
      <c r="BP28" s="22"/>
      <c r="BQ28" s="22"/>
      <c r="BR28" s="22"/>
    </row>
    <row r="29" spans="1:70" ht="12.75" customHeight="1">
      <c r="A29" s="21">
        <v>28</v>
      </c>
      <c r="B29" s="22" t="s">
        <v>108</v>
      </c>
      <c r="C29" s="23" t="s">
        <v>68</v>
      </c>
      <c r="D29" s="24" t="str">
        <f>VLOOKUP(A29,[1]CPS!A28:AG212,3,FALSE)</f>
        <v>CD-DTAM NACION-CPS No. 028 - 2022</v>
      </c>
      <c r="E29" s="25">
        <v>28</v>
      </c>
      <c r="F29" s="60" t="str">
        <f>VLOOKUP(A29,[1]CPS!A28:AG212,4,FALSE)</f>
        <v>KELLY JOHANA PEÑA RIVEROS</v>
      </c>
      <c r="G29" s="26">
        <f>VLOOKUP(A29,[1]CPS!A28:AU212,43,FALSE)</f>
        <v>44579</v>
      </c>
      <c r="H29" s="22" t="str">
        <f>VLOOKUP(A29,[1]CPS!A28:AG212,9,FALSE)</f>
        <v>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v>
      </c>
      <c r="I29" s="27" t="s">
        <v>69</v>
      </c>
      <c r="J29" s="22" t="s">
        <v>70</v>
      </c>
      <c r="K29" s="25" t="s">
        <v>71</v>
      </c>
      <c r="L29" s="28">
        <f>VLOOKUP(A29,[1]CPS!A28:AG212,16,FALSE)</f>
        <v>7822</v>
      </c>
      <c r="M29" s="28">
        <f>VLOOKUP(A29,[1]CPS!A28:AG212,18,FALSE)</f>
        <v>4122</v>
      </c>
      <c r="N29" s="29">
        <f>VLOOKUP(A29,[1]CPS!A28:AG212,19,FALSE)</f>
        <v>44580</v>
      </c>
      <c r="O29" s="22" t="str">
        <f>VLOOKUP(A29,[1]CPS!A28:AU212,46,FALSE)</f>
        <v>ADMINISTRACION</v>
      </c>
      <c r="P29" s="30">
        <f>VLOOKUP(A29,[1]CPS!A28:AG212,13,FALSE)</f>
        <v>5100000</v>
      </c>
      <c r="Q29" s="31">
        <f>VLOOKUP(A29,[1]CPS!A28:AG212,12,FALSE)</f>
        <v>55930000</v>
      </c>
      <c r="R29" s="32"/>
      <c r="S29" s="22" t="s">
        <v>72</v>
      </c>
      <c r="T29" s="22" t="s">
        <v>73</v>
      </c>
      <c r="U29" s="33">
        <f>VLOOKUP(A29,[1]CPS!A28:AG212,5,FALSE)</f>
        <v>52884555</v>
      </c>
      <c r="V29" s="34" t="s">
        <v>74</v>
      </c>
      <c r="W29" s="21" t="s">
        <v>75</v>
      </c>
      <c r="X29" s="35" t="s">
        <v>71</v>
      </c>
      <c r="Y29" s="22" t="str">
        <f t="shared" si="0"/>
        <v>KELLY JOHANA PEÑA RIVEROS</v>
      </c>
      <c r="Z29" s="22" t="str">
        <f>VLOOKUP(A29,[1]CPS!A28:AU212,35,FALSE)</f>
        <v>1 PÓLIZA</v>
      </c>
      <c r="AA29" s="25" t="str">
        <f>VLOOKUP(A29,[1]CPS!A28:AU212,37,FALSE)</f>
        <v>12 SEGUROS DEL ESTADO</v>
      </c>
      <c r="AB29" s="36" t="s">
        <v>76</v>
      </c>
      <c r="AC29" s="26">
        <f>VLOOKUP(A29,[1]CPS!A28:AU212,38,FALSE)</f>
        <v>44580</v>
      </c>
      <c r="AD29" s="25" t="str">
        <f>VLOOKUP(A29,[1]CPS!A28:AU212,39,FALSE)</f>
        <v>14-44-101145130</v>
      </c>
      <c r="AE29" s="22" t="str">
        <f>VLOOKUP(A29,[1]CPS!A28:AU212,36,FALSE)</f>
        <v>RNN Nukak</v>
      </c>
      <c r="AF29" s="22" t="s">
        <v>77</v>
      </c>
      <c r="AG29" s="22" t="s">
        <v>73</v>
      </c>
      <c r="AH29" s="38">
        <f>VLOOKUP(A29,[1]CPS!A28:AU212,41,FALSE)</f>
        <v>86014797</v>
      </c>
      <c r="AI29" s="22" t="str">
        <f>VLOOKUP(A29,[1]CPS!A28:AU212,29,FALSE)</f>
        <v>VICTOR SETINA</v>
      </c>
      <c r="AJ29" s="25">
        <f>VLOOKUP(A29,[1]CPS!A28:AH212,34,FALSE)</f>
        <v>330</v>
      </c>
      <c r="AK29" s="22"/>
      <c r="AL29" s="54">
        <f>VLOOKUP(A29,[1]CPS!A28:AU212,40,FALSE)</f>
        <v>44580</v>
      </c>
      <c r="AM29" s="57">
        <f>VLOOKUP(A29,[1]CPS!A28:AU212,44,FALSE)</f>
        <v>44607</v>
      </c>
      <c r="AN29" s="22" t="s">
        <v>78</v>
      </c>
      <c r="AO29" s="22">
        <v>0</v>
      </c>
      <c r="AP29" s="42">
        <v>0</v>
      </c>
      <c r="AQ29" s="43"/>
      <c r="AR29" s="44">
        <v>0</v>
      </c>
      <c r="AS29" s="43"/>
      <c r="AT29" s="45">
        <f>VLOOKUP(A29,[1]CPS!A28:AU212,25,FALSE)</f>
        <v>44578</v>
      </c>
      <c r="AU29" s="45">
        <f>VLOOKUP(A29,[1]CPS!A28:AU212,26,FALSE)</f>
        <v>44914</v>
      </c>
      <c r="AV29" s="46"/>
      <c r="AW29" s="22" t="s">
        <v>79</v>
      </c>
      <c r="AX29" s="22"/>
      <c r="AY29" s="22"/>
      <c r="AZ29" s="22" t="s">
        <v>79</v>
      </c>
      <c r="BA29" s="22">
        <v>0</v>
      </c>
      <c r="BB29" s="22"/>
      <c r="BC29" s="22"/>
      <c r="BD29" s="22"/>
      <c r="BE29" s="47"/>
      <c r="BF29" s="59">
        <f t="shared" si="1"/>
        <v>55930000</v>
      </c>
      <c r="BG29" s="49" t="str">
        <f>VLOOKUP(A29,[1]CPS!A28:AU212,2,FALSE)</f>
        <v>MARIA ALEJANDRA SANCHEZ RIVERA</v>
      </c>
      <c r="BH29" s="22" t="str">
        <f>VLOOKUP(A29,[1]CPS!A28:AU212,42,FALSE)</f>
        <v>https://www.secop.gov.co/CO1ContractsManagement/Tendering/ProcurementContractEdit/View?docUniqueIdentifier=CO1.PCCNTR.3294008</v>
      </c>
      <c r="BI29" s="22" t="s">
        <v>80</v>
      </c>
      <c r="BJ29" s="22"/>
      <c r="BK29" s="51" t="str">
        <f>VLOOKUP(A29,[1]CPS!A28:AU212,33,FALSE)</f>
        <v>https://community.secop.gov.co/Public/Tendering/ContractNoticePhases/View?PPI=CO1.PPI.16768009&amp;isFromPublicArea=True&amp;isModal=False</v>
      </c>
      <c r="BL29" s="52"/>
      <c r="BM29" s="52"/>
      <c r="BN29" s="22"/>
      <c r="BO29" s="53" t="s">
        <v>81</v>
      </c>
      <c r="BP29" s="22"/>
      <c r="BQ29" s="22"/>
      <c r="BR29" s="22"/>
    </row>
    <row r="30" spans="1:70" ht="12.75" customHeight="1">
      <c r="A30" s="21">
        <v>29</v>
      </c>
      <c r="B30" s="22" t="s">
        <v>109</v>
      </c>
      <c r="C30" s="23" t="s">
        <v>68</v>
      </c>
      <c r="D30" s="24" t="str">
        <f>VLOOKUP(A30,[1]CPS!A29:AG213,3,FALSE)</f>
        <v>CD-DTAM NACION-CPS No. 029 - 2022</v>
      </c>
      <c r="E30" s="25">
        <v>29</v>
      </c>
      <c r="F30" s="22" t="str">
        <f>VLOOKUP(A30,[1]CPS!A29:AG213,4,FALSE)</f>
        <v>GLADIS PAZ CRIOLLO</v>
      </c>
      <c r="G30" s="26">
        <f>VLOOKUP(A30,[1]CPS!A29:AU213,43,FALSE)</f>
        <v>44578</v>
      </c>
      <c r="H30" s="22" t="str">
        <f>VLOOKUP(A30,[1]CPS!A29:AG213,9,FALSE)</f>
        <v>Prestación de servicios profesionales y de apoyo a la gestión para para desarrollar actividades administrativas y de seguimiento al programa de bienestar, seguridad y salud en el trabajo, del Parque Nacional Natural Serranía de los Churumbelos Auka Wasi</v>
      </c>
      <c r="I30" s="27" t="s">
        <v>69</v>
      </c>
      <c r="J30" s="22" t="s">
        <v>70</v>
      </c>
      <c r="K30" s="25" t="s">
        <v>71</v>
      </c>
      <c r="L30" s="28">
        <f>VLOOKUP(A30,[1]CPS!A29:AG213,16,FALSE)</f>
        <v>5922</v>
      </c>
      <c r="M30" s="28">
        <f>VLOOKUP(A30,[1]CPS!A29:AG213,18,FALSE)</f>
        <v>3722</v>
      </c>
      <c r="N30" s="29">
        <f>VLOOKUP(A30,[1]CPS!A29:AG213,19,FALSE)</f>
        <v>44578</v>
      </c>
      <c r="O30" s="22" t="str">
        <f>VLOOKUP(A30,[1]CPS!A29:AU213,46,FALSE)</f>
        <v>FORTALECIMIENTO</v>
      </c>
      <c r="P30" s="30">
        <f>VLOOKUP(A30,[1]CPS!A29:AG213,13,FALSE)</f>
        <v>3333000</v>
      </c>
      <c r="Q30" s="31">
        <f>VLOOKUP(A30,[1]CPS!A29:AG213,12,FALSE)</f>
        <v>36552000</v>
      </c>
      <c r="R30" s="32"/>
      <c r="S30" s="22" t="s">
        <v>72</v>
      </c>
      <c r="T30" s="22" t="s">
        <v>73</v>
      </c>
      <c r="U30" s="33">
        <f>VLOOKUP(A30,[1]CPS!A29:AG213,5,FALSE)</f>
        <v>27359199</v>
      </c>
      <c r="V30" s="34" t="s">
        <v>74</v>
      </c>
      <c r="W30" s="21" t="s">
        <v>75</v>
      </c>
      <c r="X30" s="35" t="s">
        <v>71</v>
      </c>
      <c r="Y30" s="22" t="str">
        <f t="shared" si="0"/>
        <v>GLADIS PAZ CRIOLLO</v>
      </c>
      <c r="Z30" s="22" t="str">
        <f>VLOOKUP(A30,[1]CPS!A29:AU213,35,FALSE)</f>
        <v>6 NO CONSTITUYÓ GARANTÍAS</v>
      </c>
      <c r="AA30" s="25" t="str">
        <f>VLOOKUP(A30,[1]CPS!A29:AU213,37,FALSE)</f>
        <v>N/A</v>
      </c>
      <c r="AB30" s="55" t="s">
        <v>71</v>
      </c>
      <c r="AC30" s="56" t="str">
        <f>VLOOKUP(A30,[1]CPS!A29:AU213,38,FALSE)</f>
        <v>N/A</v>
      </c>
      <c r="AD30" s="55" t="str">
        <f>VLOOKUP(A30,[1]CPS!A29:AU213,39,FALSE)</f>
        <v>N/A</v>
      </c>
      <c r="AE30" s="22" t="str">
        <f>VLOOKUP(A30,[1]CPS!A29:AU213,36,FALSE)</f>
        <v>PNN Serranía de Los Churumbelos</v>
      </c>
      <c r="AF30" s="22" t="s">
        <v>77</v>
      </c>
      <c r="AG30" s="22" t="s">
        <v>73</v>
      </c>
      <c r="AH30" s="38">
        <f>VLOOKUP(A30,[1]CPS!A29:AU213,41,FALSE)</f>
        <v>19481189</v>
      </c>
      <c r="AI30" s="22" t="str">
        <f>VLOOKUP(A30,[1]CPS!A29:AU213,29,FALSE)</f>
        <v>FLABIO ARMANDO HERRERA CAICEDO</v>
      </c>
      <c r="AJ30" s="25">
        <f>VLOOKUP(A30,[1]CPS!A29:AH213,34,FALSE)</f>
        <v>329</v>
      </c>
      <c r="AK30" s="22"/>
      <c r="AL30" s="54" t="str">
        <f>VLOOKUP(A30,[1]CPS!A29:AU213,40,FALSE)</f>
        <v>N/A</v>
      </c>
      <c r="AM30" s="41">
        <f>VLOOKUP(A30,[1]CPS!A29:AU213,44,FALSE)</f>
        <v>44578</v>
      </c>
      <c r="AN30" s="22" t="s">
        <v>78</v>
      </c>
      <c r="AO30" s="22">
        <v>0</v>
      </c>
      <c r="AP30" s="42">
        <v>0</v>
      </c>
      <c r="AQ30" s="43"/>
      <c r="AR30" s="44">
        <v>0</v>
      </c>
      <c r="AS30" s="43"/>
      <c r="AT30" s="45">
        <f>VLOOKUP(A30,[1]CPS!A29:AU213,25,FALSE)</f>
        <v>44578</v>
      </c>
      <c r="AU30" s="45">
        <f>VLOOKUP(A30,[1]CPS!A29:AU213,26,FALSE)</f>
        <v>44911</v>
      </c>
      <c r="AV30" s="46"/>
      <c r="AW30" s="22" t="s">
        <v>79</v>
      </c>
      <c r="AX30" s="22"/>
      <c r="AY30" s="22"/>
      <c r="AZ30" s="22" t="s">
        <v>79</v>
      </c>
      <c r="BA30" s="22">
        <v>0</v>
      </c>
      <c r="BB30" s="22"/>
      <c r="BC30" s="22"/>
      <c r="BD30" s="22"/>
      <c r="BE30" s="47"/>
      <c r="BF30" s="59">
        <f t="shared" si="1"/>
        <v>36552000</v>
      </c>
      <c r="BG30" s="49" t="str">
        <f>VLOOKUP(A30,[1]CPS!A29:AU213,2,FALSE)</f>
        <v>LAURA CAROLINA CORREA RAMIREZ</v>
      </c>
      <c r="BH30" s="50" t="str">
        <f>VLOOKUP(A30,[1]CPS!A29:AU213,42,FALSE)</f>
        <v>https://www.secop.gov.co/CO1ContractsManagement/Tendering/ProcurementContractEdit/View?docUniqueIdentifier=CO1.PCCNTR.3264058</v>
      </c>
      <c r="BI30" s="22" t="s">
        <v>80</v>
      </c>
      <c r="BJ30" s="22"/>
      <c r="BK30" s="51" t="str">
        <f>VLOOKUP(A30,[1]CPS!A29:AU213,33,FALSE)</f>
        <v>https://community.secop.gov.co/Public/Tendering/OpportunityDetail/Index?noticeUID=CO1.NTC.2580505&amp;isFromPublicArea=True&amp;isModal=False</v>
      </c>
      <c r="BL30" s="52"/>
      <c r="BM30" s="52"/>
      <c r="BN30" s="22"/>
      <c r="BO30" s="53" t="s">
        <v>81</v>
      </c>
      <c r="BP30" s="22"/>
      <c r="BQ30" s="22"/>
      <c r="BR30" s="22"/>
    </row>
    <row r="31" spans="1:70" ht="12.75" customHeight="1">
      <c r="A31" s="21">
        <v>30</v>
      </c>
      <c r="B31" s="22" t="s">
        <v>110</v>
      </c>
      <c r="C31" s="23" t="s">
        <v>68</v>
      </c>
      <c r="D31" s="24" t="str">
        <f>VLOOKUP(A31,[1]CPS!A30:AG214,3,FALSE)</f>
        <v>CD-DTAM NACION-CPS No. 030 - 2022</v>
      </c>
      <c r="E31" s="25">
        <v>30</v>
      </c>
      <c r="F31" s="22" t="str">
        <f>VLOOKUP(A31,[1]CPS!A30:AG214,4,FALSE)</f>
        <v>LIDA YAZMIN CHITIVA SILVA</v>
      </c>
      <c r="G31" s="26">
        <f>VLOOKUP(A31,[1]CPS!A30:AU214,43,FALSE)</f>
        <v>44578</v>
      </c>
      <c r="H31" s="22" t="str">
        <f>VLOOKUP(A31,[1]CPS!A30:AG214,9,FALSE)</f>
        <v>Prestación de servicios profesionales y de apoyo administrativo a la gestión e implementación del plan de acción anual del Parque Nacional Natural Alto Fragua Indi Wasi</v>
      </c>
      <c r="I31" s="27" t="s">
        <v>69</v>
      </c>
      <c r="J31" s="22" t="s">
        <v>70</v>
      </c>
      <c r="K31" s="25" t="s">
        <v>71</v>
      </c>
      <c r="L31" s="28">
        <f>VLOOKUP(A31,[1]CPS!A30:AG214,16,FALSE)</f>
        <v>7022</v>
      </c>
      <c r="M31" s="28">
        <f>VLOOKUP(A31,[1]CPS!A30:AG214,18,FALSE)</f>
        <v>3622</v>
      </c>
      <c r="N31" s="29">
        <f>VLOOKUP(A31,[1]CPS!A30:AG214,19,FALSE)</f>
        <v>44578</v>
      </c>
      <c r="O31" s="22" t="str">
        <f>VLOOKUP(A31,[1]CPS!A30:AU214,46,FALSE)</f>
        <v>FORTALECIMIENTO</v>
      </c>
      <c r="P31" s="30">
        <f>VLOOKUP(A31,[1]CPS!A30:AG214,13,FALSE)</f>
        <v>4680000</v>
      </c>
      <c r="Q31" s="31">
        <f>VLOOKUP(A31,[1]CPS!A30:AG214,12,FALSE)</f>
        <v>51324000</v>
      </c>
      <c r="R31" s="32"/>
      <c r="S31" s="22" t="s">
        <v>72</v>
      </c>
      <c r="T31" s="22" t="s">
        <v>73</v>
      </c>
      <c r="U31" s="33">
        <f>VLOOKUP(A31,[1]CPS!A30:AG214,5,FALSE)</f>
        <v>40601723</v>
      </c>
      <c r="V31" s="34" t="s">
        <v>74</v>
      </c>
      <c r="W31" s="21" t="s">
        <v>75</v>
      </c>
      <c r="X31" s="35" t="s">
        <v>71</v>
      </c>
      <c r="Y31" s="22" t="str">
        <f t="shared" si="0"/>
        <v>LIDA YAZMIN CHITIVA SILVA</v>
      </c>
      <c r="Z31" s="22" t="str">
        <f>VLOOKUP(A31,[1]CPS!A30:AU214,35,FALSE)</f>
        <v>1 PÓLIZA</v>
      </c>
      <c r="AA31" s="25" t="str">
        <f>VLOOKUP(A31,[1]CPS!A30:AU214,37,FALSE)</f>
        <v>12 SEGUROS DEL ESTADO</v>
      </c>
      <c r="AB31" s="36" t="s">
        <v>76</v>
      </c>
      <c r="AC31" s="26">
        <f>VLOOKUP(A31,[1]CPS!A30:AU214,38,FALSE)</f>
        <v>44578</v>
      </c>
      <c r="AD31" s="25" t="str">
        <f>VLOOKUP(A31,[1]CPS!A30:AU214,39,FALSE)</f>
        <v>14-44-101144691</v>
      </c>
      <c r="AE31" s="22" t="str">
        <f>VLOOKUP(A31,[1]CPS!A30:AU214,36,FALSE)</f>
        <v>PNN Alto Fragua Indi Wasi</v>
      </c>
      <c r="AF31" s="22" t="s">
        <v>77</v>
      </c>
      <c r="AG31" s="22" t="s">
        <v>73</v>
      </c>
      <c r="AH31" s="38">
        <f>VLOOKUP(A31,[1]CPS!A30:AU214,41,FALSE)</f>
        <v>28557787</v>
      </c>
      <c r="AI31" s="22" t="str">
        <f>VLOOKUP(A31,[1]CPS!A30:AU214,29,FALSE)</f>
        <v>ANGELICA CARVAJAL RUEDA</v>
      </c>
      <c r="AJ31" s="25">
        <f>VLOOKUP(A31,[1]CPS!A30:AH214,34,FALSE)</f>
        <v>329</v>
      </c>
      <c r="AK31" s="22"/>
      <c r="AL31" s="54">
        <f>VLOOKUP(A31,[1]CPS!A30:AU214,40,FALSE)</f>
        <v>44578</v>
      </c>
      <c r="AM31" s="41">
        <f>VLOOKUP(A31,[1]CPS!A30:AU214,44,FALSE)</f>
        <v>44578</v>
      </c>
      <c r="AN31" s="22" t="s">
        <v>78</v>
      </c>
      <c r="AO31" s="22">
        <v>0</v>
      </c>
      <c r="AP31" s="42">
        <v>0</v>
      </c>
      <c r="AQ31" s="43"/>
      <c r="AR31" s="44">
        <v>0</v>
      </c>
      <c r="AS31" s="43"/>
      <c r="AT31" s="45">
        <f>VLOOKUP(A31,[1]CPS!A30:AU214,25,FALSE)</f>
        <v>44578</v>
      </c>
      <c r="AU31" s="45">
        <f>VLOOKUP(A31,[1]CPS!A30:AU214,26,FALSE)</f>
        <v>44910</v>
      </c>
      <c r="AV31" s="46"/>
      <c r="AW31" s="22" t="s">
        <v>79</v>
      </c>
      <c r="AX31" s="22"/>
      <c r="AY31" s="22"/>
      <c r="AZ31" s="22" t="s">
        <v>79</v>
      </c>
      <c r="BA31" s="22">
        <v>0</v>
      </c>
      <c r="BB31" s="22"/>
      <c r="BC31" s="22"/>
      <c r="BD31" s="22"/>
      <c r="BE31" s="47"/>
      <c r="BF31" s="59">
        <f t="shared" si="1"/>
        <v>51324000</v>
      </c>
      <c r="BG31" s="49" t="str">
        <f>VLOOKUP(A31,[1]CPS!A30:AU214,2,FALSE)</f>
        <v>NORYLY AGUIRRE OTALORA</v>
      </c>
      <c r="BH31" s="22" t="str">
        <f>VLOOKUP(A31,[1]CPS!A30:AU214,42,FALSE)</f>
        <v>https://www.secop.gov.co/CO1ContractsManagement/Tendering/ProcurementContractEdit/View?docUniqueIdentifier=CO1.PCCNTR.3263342</v>
      </c>
      <c r="BI31" s="22" t="s">
        <v>80</v>
      </c>
      <c r="BJ31" s="22"/>
      <c r="BK31" s="51" t="str">
        <f>VLOOKUP(A31,[1]CPS!A30:AU214,33,FALSE)</f>
        <v>https://community.secop.gov.co/Public/Tendering/ContractNoticePhases/View?PPI=CO1.PPI.16779508&amp;isFromPublicArea=True&amp;isModal=False</v>
      </c>
      <c r="BL31" s="52"/>
      <c r="BM31" s="52"/>
      <c r="BN31" s="22"/>
      <c r="BO31" s="53" t="s">
        <v>81</v>
      </c>
      <c r="BP31" s="22"/>
      <c r="BQ31" s="22"/>
      <c r="BR31" s="22"/>
    </row>
    <row r="32" spans="1:70" ht="12.75" customHeight="1">
      <c r="A32" s="21">
        <v>31</v>
      </c>
      <c r="B32" s="22" t="s">
        <v>111</v>
      </c>
      <c r="C32" s="23" t="s">
        <v>68</v>
      </c>
      <c r="D32" s="24" t="str">
        <f>VLOOKUP(A32,[1]CPS!A31:AG215,3,FALSE)</f>
        <v>CD-DTAM NACION-CPS No. 031 - 2022</v>
      </c>
      <c r="E32" s="25">
        <v>31</v>
      </c>
      <c r="F32" s="22" t="str">
        <f>VLOOKUP(A32,[1]CPS!A31:AG215,4,FALSE)</f>
        <v xml:space="preserve">JHON FREDY MOSQUERA CRUZ </v>
      </c>
      <c r="G32" s="26">
        <f>VLOOKUP(A32,[1]CPS!A31:AU215,43,FALSE)</f>
        <v>44579</v>
      </c>
      <c r="H32" s="22" t="str">
        <f>VLOOKUP(A32,[1]CPS!A31:AG215,9,FALSE)</f>
        <v>Prestación de servicios de Técnico Ambiental y de apoyo a la RNN Nukak, en el marco de la implementación de la estrategia de UOT en la gestión con comunidades campesinas que se encuentran asentadas al interior y en zona de influencia de la RNN Nukak.</v>
      </c>
      <c r="I32" s="27" t="s">
        <v>69</v>
      </c>
      <c r="J32" s="22" t="s">
        <v>70</v>
      </c>
      <c r="K32" s="25" t="s">
        <v>71</v>
      </c>
      <c r="L32" s="28">
        <f>VLOOKUP(A32,[1]CPS!A31:AG215,16,FALSE)</f>
        <v>8122</v>
      </c>
      <c r="M32" s="28">
        <f>VLOOKUP(A32,[1]CPS!A31:AG215,18,FALSE)</f>
        <v>3922</v>
      </c>
      <c r="N32" s="29">
        <f>VLOOKUP(A32,[1]CPS!A31:AG215,19,FALSE)</f>
        <v>44579</v>
      </c>
      <c r="O32" s="22" t="str">
        <f>VLOOKUP(A32,[1]CPS!A31:AU215,46,FALSE)</f>
        <v>ADMINISTRACION</v>
      </c>
      <c r="P32" s="30">
        <f>VLOOKUP(A32,[1]CPS!A31:AG215,13,FALSE)</f>
        <v>2812000</v>
      </c>
      <c r="Q32" s="31">
        <f>VLOOKUP(A32,[1]CPS!A31:AG215,12,FALSE)</f>
        <v>30932000</v>
      </c>
      <c r="R32" s="32"/>
      <c r="S32" s="22" t="s">
        <v>72</v>
      </c>
      <c r="T32" s="22" t="s">
        <v>73</v>
      </c>
      <c r="U32" s="33">
        <f>VLOOKUP(A32,[1]CPS!A31:AG215,5,FALSE)</f>
        <v>1006840454</v>
      </c>
      <c r="V32" s="34" t="s">
        <v>74</v>
      </c>
      <c r="W32" s="21" t="s">
        <v>75</v>
      </c>
      <c r="X32" s="35" t="s">
        <v>71</v>
      </c>
      <c r="Y32" s="22" t="str">
        <f t="shared" si="0"/>
        <v xml:space="preserve">JHON FREDY MOSQUERA CRUZ </v>
      </c>
      <c r="Z32" s="22" t="str">
        <f>VLOOKUP(A32,[1]CPS!A31:AU215,35,FALSE)</f>
        <v>6 NO CONSTITUYÓ GARANTÍAS</v>
      </c>
      <c r="AA32" s="25" t="str">
        <f>VLOOKUP(A32,[1]CPS!A31:AU215,37,FALSE)</f>
        <v>N/A</v>
      </c>
      <c r="AB32" s="55" t="s">
        <v>71</v>
      </c>
      <c r="AC32" s="56" t="str">
        <f>VLOOKUP(A32,[1]CPS!A31:AU215,38,FALSE)</f>
        <v>N/A</v>
      </c>
      <c r="AD32" s="55" t="str">
        <f>VLOOKUP(A32,[1]CPS!A31:AU215,39,FALSE)</f>
        <v>N/A</v>
      </c>
      <c r="AE32" s="22" t="str">
        <f>VLOOKUP(A32,[1]CPS!A31:AU215,36,FALSE)</f>
        <v>RNN Nukak</v>
      </c>
      <c r="AF32" s="22" t="s">
        <v>77</v>
      </c>
      <c r="AG32" s="22" t="s">
        <v>73</v>
      </c>
      <c r="AH32" s="38">
        <f>VLOOKUP(A32,[1]CPS!A31:AU215,41,FALSE)</f>
        <v>86014797</v>
      </c>
      <c r="AI32" s="22" t="str">
        <f>VLOOKUP(A32,[1]CPS!A31:AU215,29,FALSE)</f>
        <v>VICTOR SETINA</v>
      </c>
      <c r="AJ32" s="25">
        <f>VLOOKUP(A32,[1]CPS!A31:AH215,34,FALSE)</f>
        <v>330</v>
      </c>
      <c r="AK32" s="22"/>
      <c r="AL32" s="54" t="str">
        <f>VLOOKUP(A32,[1]CPS!A31:AU215,40,FALSE)</f>
        <v>N/A</v>
      </c>
      <c r="AM32" s="41">
        <f>VLOOKUP(A32,[1]CPS!A31:AU215,44,FALSE)</f>
        <v>44579</v>
      </c>
      <c r="AN32" s="22" t="s">
        <v>78</v>
      </c>
      <c r="AO32" s="22">
        <v>0</v>
      </c>
      <c r="AP32" s="42">
        <v>0</v>
      </c>
      <c r="AQ32" s="43"/>
      <c r="AR32" s="44">
        <v>0</v>
      </c>
      <c r="AS32" s="43"/>
      <c r="AT32" s="45">
        <f>VLOOKUP(A32,[1]CPS!A31:AU215,25,FALSE)</f>
        <v>44579</v>
      </c>
      <c r="AU32" s="45">
        <f>VLOOKUP(A32,[1]CPS!A31:AU215,26,FALSE)</f>
        <v>44912</v>
      </c>
      <c r="AV32" s="46"/>
      <c r="AW32" s="22" t="s">
        <v>79</v>
      </c>
      <c r="AX32" s="22"/>
      <c r="AY32" s="22"/>
      <c r="AZ32" s="22" t="s">
        <v>79</v>
      </c>
      <c r="BA32" s="22">
        <v>0</v>
      </c>
      <c r="BB32" s="22"/>
      <c r="BC32" s="22"/>
      <c r="BD32" s="22"/>
      <c r="BE32" s="47"/>
      <c r="BF32" s="59">
        <f t="shared" si="1"/>
        <v>30932000</v>
      </c>
      <c r="BG32" s="49" t="str">
        <f>VLOOKUP(A32,[1]CPS!A31:AU215,2,FALSE)</f>
        <v>NORYLY AGUIRRE OTALORA</v>
      </c>
      <c r="BH32" s="50" t="str">
        <f>VLOOKUP(A32,[1]CPS!A31:AU215,42,FALSE)</f>
        <v>https://www.secop.gov.co/CO1ContractsManagement/Tendering/ProcurementContractEdit/View?docUniqueIdentifier=CO1.PCCNTR.3285411</v>
      </c>
      <c r="BI32" s="22" t="s">
        <v>80</v>
      </c>
      <c r="BJ32" s="22"/>
      <c r="BK32" s="51" t="str">
        <f>VLOOKUP(A32,[1]CPS!A31:AU215,33,FALSE)</f>
        <v>https://community.secop.gov.co/Public/Tendering/ContractNoticePhases/View?PPI=CO1.PPI.16833227&amp;isFromPublicArea=True&amp;isModal=False</v>
      </c>
      <c r="BL32" s="52"/>
      <c r="BM32" s="52"/>
      <c r="BN32" s="22"/>
      <c r="BO32" s="53" t="s">
        <v>81</v>
      </c>
      <c r="BP32" s="22"/>
      <c r="BQ32" s="22"/>
      <c r="BR32" s="22"/>
    </row>
    <row r="33" spans="1:70" ht="12.75" customHeight="1">
      <c r="A33" s="21">
        <v>32</v>
      </c>
      <c r="B33" s="22" t="s">
        <v>112</v>
      </c>
      <c r="C33" s="23" t="s">
        <v>68</v>
      </c>
      <c r="D33" s="24" t="str">
        <f>VLOOKUP(A33,[1]CPS!A32:AG216,3,FALSE)</f>
        <v>CD-DTAM NACION-CPS No. 032 - 2022</v>
      </c>
      <c r="E33" s="25">
        <v>32</v>
      </c>
      <c r="F33" s="22" t="str">
        <f>VLOOKUP(A33,[1]CPS!A32:AG216,4,FALSE)</f>
        <v>MARTHA ISABEL PEREZ LLANOS</v>
      </c>
      <c r="G33" s="26">
        <f>VLOOKUP(A33,[1]CPS!A32:AU216,43,FALSE)</f>
        <v>44579</v>
      </c>
      <c r="H33" s="22" t="str">
        <f>VLOOKUP(A33,[1]CPS!A32:AG216,9,FALSE)</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v>
      </c>
      <c r="I33" s="27" t="s">
        <v>69</v>
      </c>
      <c r="J33" s="22" t="s">
        <v>70</v>
      </c>
      <c r="K33" s="25" t="s">
        <v>71</v>
      </c>
      <c r="L33" s="28">
        <f>VLOOKUP(A33,[1]CPS!A32:AG216,16,FALSE)</f>
        <v>3822</v>
      </c>
      <c r="M33" s="28">
        <f>VLOOKUP(A33,[1]CPS!A32:AG216,18,FALSE)</f>
        <v>3822</v>
      </c>
      <c r="N33" s="29">
        <f>VLOOKUP(A33,[1]CPS!A32:AG216,19,FALSE)</f>
        <v>44579</v>
      </c>
      <c r="O33" s="22" t="str">
        <f>VLOOKUP(A33,[1]CPS!A32:AU216,46,FALSE)</f>
        <v>FORTALECIMIENTO</v>
      </c>
      <c r="P33" s="30">
        <f>VLOOKUP(A33,[1]CPS!A32:AG216,13,FALSE)</f>
        <v>2812000</v>
      </c>
      <c r="Q33" s="31">
        <f>VLOOKUP(A33,[1]CPS!A32:AG216,12,FALSE)</f>
        <v>30932000</v>
      </c>
      <c r="R33" s="32"/>
      <c r="S33" s="22" t="s">
        <v>72</v>
      </c>
      <c r="T33" s="22" t="s">
        <v>73</v>
      </c>
      <c r="U33" s="33">
        <f>VLOOKUP(A33,[1]CPS!A32:AG216,5,FALSE)</f>
        <v>63501128</v>
      </c>
      <c r="V33" s="34" t="s">
        <v>74</v>
      </c>
      <c r="W33" s="21" t="s">
        <v>75</v>
      </c>
      <c r="X33" s="35" t="s">
        <v>71</v>
      </c>
      <c r="Y33" s="22" t="str">
        <f t="shared" si="0"/>
        <v>MARTHA ISABEL PEREZ LLANOS</v>
      </c>
      <c r="Z33" s="22" t="str">
        <f>VLOOKUP(A33,[1]CPS!A32:AU216,35,FALSE)</f>
        <v>6 NO CONSTITUYÓ GARANTÍAS</v>
      </c>
      <c r="AA33" s="25" t="str">
        <f>VLOOKUP(A33,[1]CPS!A32:AU216,37,FALSE)</f>
        <v>N/A</v>
      </c>
      <c r="AB33" s="55" t="s">
        <v>71</v>
      </c>
      <c r="AC33" s="56" t="str">
        <f>VLOOKUP(A33,[1]CPS!A32:AU216,38,FALSE)</f>
        <v>N/A</v>
      </c>
      <c r="AD33" s="55" t="str">
        <f>VLOOKUP(A33,[1]CPS!A32:AU216,39,FALSE)</f>
        <v>N/A</v>
      </c>
      <c r="AE33" s="22" t="str">
        <f>VLOOKUP(A33,[1]CPS!A32:AU216,36,FALSE)</f>
        <v>RNN Nukak</v>
      </c>
      <c r="AF33" s="22" t="s">
        <v>77</v>
      </c>
      <c r="AG33" s="22" t="s">
        <v>73</v>
      </c>
      <c r="AH33" s="38">
        <f>VLOOKUP(A33,[1]CPS!A32:AU216,41,FALSE)</f>
        <v>86014797</v>
      </c>
      <c r="AI33" s="22" t="str">
        <f>VLOOKUP(A33,[1]CPS!A32:AU216,29,FALSE)</f>
        <v>VICTOR SETINA</v>
      </c>
      <c r="AJ33" s="25">
        <f>VLOOKUP(A33,[1]CPS!A32:AH216,34,FALSE)</f>
        <v>330</v>
      </c>
      <c r="AK33" s="22"/>
      <c r="AL33" s="54" t="str">
        <f>VLOOKUP(A33,[1]CPS!A32:AU216,40,FALSE)</f>
        <v>N/A</v>
      </c>
      <c r="AM33" s="41">
        <f>VLOOKUP(A33,[1]CPS!A32:AU216,44,FALSE)</f>
        <v>44579</v>
      </c>
      <c r="AN33" s="22" t="s">
        <v>78</v>
      </c>
      <c r="AO33" s="22">
        <v>0</v>
      </c>
      <c r="AP33" s="42">
        <v>0</v>
      </c>
      <c r="AQ33" s="43"/>
      <c r="AR33" s="44">
        <v>0</v>
      </c>
      <c r="AS33" s="43"/>
      <c r="AT33" s="45">
        <f>VLOOKUP(A33,[1]CPS!A32:AU216,25,FALSE)</f>
        <v>44579</v>
      </c>
      <c r="AU33" s="45">
        <f>VLOOKUP(A33,[1]CPS!A32:AU216,26,FALSE)</f>
        <v>44912</v>
      </c>
      <c r="AV33" s="46"/>
      <c r="AW33" s="22" t="s">
        <v>79</v>
      </c>
      <c r="AX33" s="22"/>
      <c r="AY33" s="22"/>
      <c r="AZ33" s="22" t="s">
        <v>79</v>
      </c>
      <c r="BA33" s="22">
        <v>0</v>
      </c>
      <c r="BB33" s="22"/>
      <c r="BC33" s="22"/>
      <c r="BD33" s="22"/>
      <c r="BE33" s="47"/>
      <c r="BF33" s="59">
        <f t="shared" si="1"/>
        <v>30932000</v>
      </c>
      <c r="BG33" s="49" t="str">
        <f>VLOOKUP(A33,[1]CPS!A32:AU216,2,FALSE)</f>
        <v>LAURA CAROLINA CORREA RAMIREZ</v>
      </c>
      <c r="BH33" s="50" t="str">
        <f>VLOOKUP(A33,[1]CPS!A32:AU216,42,FALSE)</f>
        <v>https://www.secop.gov.co/CO1ContractsManagement/Tendering/ProcurementContractEdit/View?docUniqueIdentifier=CO1.PCCNTR.3278466</v>
      </c>
      <c r="BI33" s="22" t="s">
        <v>80</v>
      </c>
      <c r="BJ33" s="22"/>
      <c r="BK33" s="51" t="str">
        <f>VLOOKUP(A33,[1]CPS!A32:AU216,33,FALSE)</f>
        <v>https://community.secop.gov.co/Public/Tendering/OpportunityDetail/Index?noticeUID=CO1.NTC.2593201&amp;isFromPublicArea=True&amp;isModal=False</v>
      </c>
      <c r="BL33" s="52"/>
      <c r="BM33" s="52"/>
      <c r="BN33" s="22"/>
      <c r="BO33" s="53" t="s">
        <v>81</v>
      </c>
      <c r="BP33" s="22"/>
      <c r="BQ33" s="22"/>
      <c r="BR33" s="22"/>
    </row>
    <row r="34" spans="1:70" ht="12.75" customHeight="1">
      <c r="A34" s="21">
        <v>33</v>
      </c>
      <c r="B34" s="22" t="s">
        <v>113</v>
      </c>
      <c r="C34" s="23" t="s">
        <v>68</v>
      </c>
      <c r="D34" s="24" t="str">
        <f>VLOOKUP(A34,[1]CPS!A33:AG217,3,FALSE)</f>
        <v>CD-DTAM NACION-CPS No. 033 - 2022</v>
      </c>
      <c r="E34" s="25">
        <v>33</v>
      </c>
      <c r="F34" s="22" t="str">
        <f>VLOOKUP(A34,[1]CPS!A33:AG217,4,FALSE)</f>
        <v>KAREN LORENA ORTIZ DIAZ</v>
      </c>
      <c r="G34" s="26">
        <f>VLOOKUP(A34,[1]CPS!A33:AU217,43,FALSE)</f>
        <v>44579</v>
      </c>
      <c r="H34" s="22" t="str">
        <f>VLOOKUP(A34,[1]CPS!A33:AG217,9,FALSE)</f>
        <v>Prestación de servicios técnicos y de apoyo a la gestión en la Dirección Territorial Amazonia de Parques Nacionales Naturales de Colombia, con el fin de escanear, descartar y organizar el archivo de gestión e histórico, de acuerdo con los lineamientos del Archivo General de la Nación, para proteger y conservar la memoria de la Entidad en el proyecto de digitalización.</v>
      </c>
      <c r="I34" s="27" t="s">
        <v>69</v>
      </c>
      <c r="J34" s="22" t="s">
        <v>70</v>
      </c>
      <c r="K34" s="25" t="s">
        <v>71</v>
      </c>
      <c r="L34" s="28">
        <f>VLOOKUP(A34,[1]CPS!A33:AG217,16,FALSE)</f>
        <v>8922</v>
      </c>
      <c r="M34" s="28">
        <f>VLOOKUP(A34,[1]CPS!A33:AG217,18,FALSE)</f>
        <v>4322</v>
      </c>
      <c r="N34" s="29">
        <f>VLOOKUP(A34,[1]CPS!A33:AG217,19,FALSE)</f>
        <v>44580</v>
      </c>
      <c r="O34" s="22" t="str">
        <f>VLOOKUP(A34,[1]CPS!A33:AU217,46,FALSE)</f>
        <v>FORTALECIMIENTO</v>
      </c>
      <c r="P34" s="30">
        <f>VLOOKUP(A34,[1]CPS!A33:AG217,13,FALSE)</f>
        <v>2812000</v>
      </c>
      <c r="Q34" s="31">
        <f>VLOOKUP(A34,[1]CPS!A33:AG217,12,FALSE)</f>
        <v>30932000</v>
      </c>
      <c r="R34" s="32"/>
      <c r="S34" s="22" t="s">
        <v>72</v>
      </c>
      <c r="T34" s="22" t="s">
        <v>73</v>
      </c>
      <c r="U34" s="33">
        <f>VLOOKUP(A34,[1]CPS!A33:AG217,5,FALSE)</f>
        <v>1022397856</v>
      </c>
      <c r="V34" s="34" t="s">
        <v>74</v>
      </c>
      <c r="W34" s="21" t="s">
        <v>75</v>
      </c>
      <c r="X34" s="35" t="s">
        <v>71</v>
      </c>
      <c r="Y34" s="22" t="str">
        <f t="shared" si="0"/>
        <v>KAREN LORENA ORTIZ DIAZ</v>
      </c>
      <c r="Z34" s="22" t="str">
        <f>VLOOKUP(A34,[1]CPS!A33:AU217,35,FALSE)</f>
        <v>6 NO CONSTITUYÓ GARANTÍAS</v>
      </c>
      <c r="AA34" s="25" t="str">
        <f>VLOOKUP(A34,[1]CPS!A33:AU217,37,FALSE)</f>
        <v>N/A</v>
      </c>
      <c r="AB34" s="55" t="s">
        <v>71</v>
      </c>
      <c r="AC34" s="56" t="str">
        <f>VLOOKUP(A34,[1]CPS!A33:AU217,38,FALSE)</f>
        <v>N/A</v>
      </c>
      <c r="AD34" s="55" t="str">
        <f>VLOOKUP(A34,[1]CPS!A33:AU217,39,FALSE)</f>
        <v>N/A</v>
      </c>
      <c r="AE34" s="22" t="str">
        <f>VLOOKUP(A34,[1]CPS!A33:AU217,36,FALSE)</f>
        <v>Dirección Territorial Amazonía</v>
      </c>
      <c r="AF34" s="22" t="s">
        <v>77</v>
      </c>
      <c r="AG34" s="22" t="s">
        <v>73</v>
      </c>
      <c r="AH34" s="38">
        <f>VLOOKUP(A34,[1]CPS!A33:AU217,41,FALSE)</f>
        <v>41674698</v>
      </c>
      <c r="AI34" s="22" t="str">
        <f>VLOOKUP(A34,[1]CPS!A33:AU217,29,FALSE)</f>
        <v>CLAUDIA OFELIA MANRIQUE ROA</v>
      </c>
      <c r="AJ34" s="25">
        <f>VLOOKUP(A34,[1]CPS!A33:AH217,34,FALSE)</f>
        <v>330</v>
      </c>
      <c r="AK34" s="22"/>
      <c r="AL34" s="54" t="str">
        <f>VLOOKUP(A34,[1]CPS!A33:AU217,40,FALSE)</f>
        <v>N/A</v>
      </c>
      <c r="AM34" s="41">
        <f>VLOOKUP(A34,[1]CPS!A33:AU217,44,FALSE)</f>
        <v>44581</v>
      </c>
      <c r="AN34" s="22" t="s">
        <v>78</v>
      </c>
      <c r="AO34" s="22">
        <v>0</v>
      </c>
      <c r="AP34" s="42">
        <v>0</v>
      </c>
      <c r="AQ34" s="43"/>
      <c r="AR34" s="44">
        <v>0</v>
      </c>
      <c r="AS34" s="43"/>
      <c r="AT34" s="45">
        <f>VLOOKUP(A34,[1]CPS!A33:AU217,25,FALSE)</f>
        <v>44580</v>
      </c>
      <c r="AU34" s="45">
        <f>VLOOKUP(A34,[1]CPS!A33:AU217,26,FALSE)</f>
        <v>44913</v>
      </c>
      <c r="AV34" s="46"/>
      <c r="AW34" s="22" t="s">
        <v>79</v>
      </c>
      <c r="AX34" s="22"/>
      <c r="AY34" s="22"/>
      <c r="AZ34" s="22" t="s">
        <v>79</v>
      </c>
      <c r="BA34" s="22">
        <v>0</v>
      </c>
      <c r="BB34" s="22"/>
      <c r="BC34" s="22"/>
      <c r="BD34" s="22"/>
      <c r="BE34" s="47"/>
      <c r="BF34" s="59">
        <f t="shared" si="1"/>
        <v>30932000</v>
      </c>
      <c r="BG34" s="49" t="str">
        <f>VLOOKUP(A34,[1]CPS!A33:AU217,2,FALSE)</f>
        <v>LAURA CAROLINA CORREA RAMIREZ</v>
      </c>
      <c r="BH34" s="50" t="str">
        <f>VLOOKUP(A34,[1]CPS!A33:AU217,42,FALSE)</f>
        <v>https://www.secop.gov.co/CO1ContractsManagement/Tendering/ProcurementContractEdit/View?docUniqueIdentifier=CO1.PCCNTR.3299908</v>
      </c>
      <c r="BI34" s="22" t="s">
        <v>80</v>
      </c>
      <c r="BJ34" s="22"/>
      <c r="BK34" s="51" t="str">
        <f>VLOOKUP(A34,[1]CPS!A33:AU217,33,FALSE)</f>
        <v>https://community.secop.gov.co/Public/Tendering/OpportunityDetail/Index?noticeUID=CO1.NTC.2610632&amp;isFromPublicArea=True&amp;isModal=False</v>
      </c>
      <c r="BL34" s="52"/>
      <c r="BM34" s="52"/>
      <c r="BN34" s="22"/>
      <c r="BO34" s="53" t="s">
        <v>81</v>
      </c>
      <c r="BP34" s="22"/>
      <c r="BQ34" s="22"/>
      <c r="BR34" s="22"/>
    </row>
    <row r="35" spans="1:70" ht="12.75" customHeight="1">
      <c r="A35" s="21">
        <v>34</v>
      </c>
      <c r="B35" s="22" t="s">
        <v>114</v>
      </c>
      <c r="C35" s="23" t="s">
        <v>68</v>
      </c>
      <c r="D35" s="24" t="str">
        <f>VLOOKUP(A35,[1]CPS!A34:AG218,3,FALSE)</f>
        <v>CD-DTAM NACION-CPS No. 034 - 2022</v>
      </c>
      <c r="E35" s="25">
        <v>34</v>
      </c>
      <c r="F35" s="22" t="str">
        <f>VLOOKUP(A35,[1]CPS!A34:AG218,4,FALSE)</f>
        <v>MIRIEM SOCORRO TORRES PAREDES</v>
      </c>
      <c r="G35" s="26">
        <f>VLOOKUP(A35,[1]CPS!A34:AU218,43,FALSE)</f>
        <v>44579</v>
      </c>
      <c r="H35" s="22" t="str">
        <f>VLOOKUP(A35,[1]CPS!A34:AG218,9,FALSE)</f>
        <v>Prestar Servicios Técnicos y de apoyo a la gestión para desarrollar actividades administrativas, de ejecución presupuestal, manejo de inventarios y de soporte a los mecanismos de planeación, evaluación, seguimiento y Sistema Integrado de Gestión del Parque Nacional Natural Yaigojé Apaporis.</v>
      </c>
      <c r="I35" s="27" t="s">
        <v>69</v>
      </c>
      <c r="J35" s="22" t="s">
        <v>70</v>
      </c>
      <c r="K35" s="25" t="s">
        <v>71</v>
      </c>
      <c r="L35" s="28">
        <f>VLOOKUP(A35,[1]CPS!A34:AG218,16,FALSE)</f>
        <v>8222</v>
      </c>
      <c r="M35" s="28">
        <f>VLOOKUP(A35,[1]CPS!A34:AG218,18,FALSE)</f>
        <v>4222</v>
      </c>
      <c r="N35" s="29">
        <f>VLOOKUP(A35,[1]CPS!A34:AG218,19,FALSE)</f>
        <v>44580</v>
      </c>
      <c r="O35" s="22" t="str">
        <f>VLOOKUP(A35,[1]CPS!A34:AU218,46,FALSE)</f>
        <v>FORTALECIMIENTO</v>
      </c>
      <c r="P35" s="30">
        <f>VLOOKUP(A35,[1]CPS!A34:AG218,13,FALSE)</f>
        <v>2812000</v>
      </c>
      <c r="Q35" s="31">
        <f>VLOOKUP(A35,[1]CPS!A34:AG218,12,FALSE)</f>
        <v>30932000</v>
      </c>
      <c r="R35" s="32"/>
      <c r="S35" s="22" t="s">
        <v>72</v>
      </c>
      <c r="T35" s="22" t="s">
        <v>73</v>
      </c>
      <c r="U35" s="33">
        <f>VLOOKUP(A35,[1]CPS!A34:AG218,5,FALSE)</f>
        <v>1121198647</v>
      </c>
      <c r="V35" s="34" t="s">
        <v>74</v>
      </c>
      <c r="W35" s="21" t="s">
        <v>75</v>
      </c>
      <c r="X35" s="35" t="s">
        <v>71</v>
      </c>
      <c r="Y35" s="22" t="str">
        <f t="shared" si="0"/>
        <v>MIRIEM SOCORRO TORRES PAREDES</v>
      </c>
      <c r="Z35" s="22" t="str">
        <f>VLOOKUP(A35,[1]CPS!A34:AU218,35,FALSE)</f>
        <v>6 NO CONSTITUYÓ GARANTÍAS</v>
      </c>
      <c r="AA35" s="25" t="str">
        <f>VLOOKUP(A35,[1]CPS!A34:AU218,37,FALSE)</f>
        <v>N/A</v>
      </c>
      <c r="AB35" s="55" t="s">
        <v>71</v>
      </c>
      <c r="AC35" s="56" t="str">
        <f>VLOOKUP(A35,[1]CPS!A34:AU218,38,FALSE)</f>
        <v>N/A</v>
      </c>
      <c r="AD35" s="55" t="str">
        <f>VLOOKUP(A35,[1]CPS!A34:AU218,39,FALSE)</f>
        <v>N/A</v>
      </c>
      <c r="AE35" s="22" t="str">
        <f>VLOOKUP(A35,[1]CPS!A34:AU218,36,FALSE)</f>
        <v>PNN Yaigojé Apaporis</v>
      </c>
      <c r="AF35" s="22" t="s">
        <v>77</v>
      </c>
      <c r="AG35" s="22" t="s">
        <v>73</v>
      </c>
      <c r="AH35" s="38">
        <f>VLOOKUP(A35,[1]CPS!A34:AU218,41,FALSE)</f>
        <v>79494598</v>
      </c>
      <c r="AI35" s="22" t="str">
        <f>VLOOKUP(A35,[1]CPS!A34:AU218,29,FALSE)</f>
        <v>EDGAR ARGEMIRO CASTRO AGUILERA</v>
      </c>
      <c r="AJ35" s="25">
        <f>VLOOKUP(A35,[1]CPS!A34:AH218,34,FALSE)</f>
        <v>330</v>
      </c>
      <c r="AK35" s="22"/>
      <c r="AL35" s="54" t="str">
        <f>VLOOKUP(A35,[1]CPS!A34:AU218,40,FALSE)</f>
        <v>N/A</v>
      </c>
      <c r="AM35" s="41">
        <f>VLOOKUP(A35,[1]CPS!A34:AU218,44,FALSE)</f>
        <v>44580</v>
      </c>
      <c r="AN35" s="22" t="s">
        <v>78</v>
      </c>
      <c r="AO35" s="22">
        <v>0</v>
      </c>
      <c r="AP35" s="42">
        <v>0</v>
      </c>
      <c r="AQ35" s="43"/>
      <c r="AR35" s="44">
        <v>0</v>
      </c>
      <c r="AS35" s="43"/>
      <c r="AT35" s="45">
        <f>VLOOKUP(A35,[1]CPS!A34:AU218,25,FALSE)</f>
        <v>44580</v>
      </c>
      <c r="AU35" s="45">
        <f>VLOOKUP(A35,[1]CPS!A34:AU218,26,FALSE)</f>
        <v>44913</v>
      </c>
      <c r="AV35" s="46"/>
      <c r="AW35" s="22" t="s">
        <v>79</v>
      </c>
      <c r="AX35" s="22"/>
      <c r="AY35" s="22"/>
      <c r="AZ35" s="22" t="s">
        <v>79</v>
      </c>
      <c r="BA35" s="22">
        <v>0</v>
      </c>
      <c r="BB35" s="22"/>
      <c r="BC35" s="22"/>
      <c r="BD35" s="22"/>
      <c r="BE35" s="47"/>
      <c r="BF35" s="59">
        <f t="shared" si="1"/>
        <v>30932000</v>
      </c>
      <c r="BG35" s="49" t="str">
        <f>VLOOKUP(A35,[1]CPS!A34:AU218,2,FALSE)</f>
        <v>NORYLY AGUIRRE OTALORA</v>
      </c>
      <c r="BH35" s="22" t="str">
        <f>VLOOKUP(A35,[1]CPS!A34:AU218,42,FALSE)</f>
        <v>https://www.secop.gov.co/CO1ContractsManagement/Tendering/ProcurementContractEdit/View?docUniqueIdentifier=CO1.PCCNTR.3290696</v>
      </c>
      <c r="BI35" s="22" t="s">
        <v>80</v>
      </c>
      <c r="BJ35" s="22"/>
      <c r="BK35" s="51" t="str">
        <f>VLOOKUP(A35,[1]CPS!A34:AU218,33,FALSE)</f>
        <v>https://community.secop.gov.co/Public/Tendering/ContractNoticePhases/View?PPI=CO1.PPI.16848756&amp;isFromPublicArea=True&amp;isModal=False</v>
      </c>
      <c r="BL35" s="52"/>
      <c r="BM35" s="52"/>
      <c r="BN35" s="22"/>
      <c r="BO35" s="53" t="s">
        <v>81</v>
      </c>
      <c r="BP35" s="22"/>
      <c r="BQ35" s="22"/>
      <c r="BR35" s="22"/>
    </row>
    <row r="36" spans="1:70" ht="12.75" customHeight="1">
      <c r="A36" s="21">
        <v>35</v>
      </c>
      <c r="B36" s="22" t="s">
        <v>115</v>
      </c>
      <c r="C36" s="23" t="s">
        <v>68</v>
      </c>
      <c r="D36" s="24" t="str">
        <f>VLOOKUP(A36,[1]CPS!A35:AG219,3,FALSE)</f>
        <v>CD-DTAM NACION-CPS No. 035 - 2022</v>
      </c>
      <c r="E36" s="25">
        <v>35</v>
      </c>
      <c r="F36" s="22" t="str">
        <f>VLOOKUP(A36,[1]CPS!A35:AG219,4,FALSE)</f>
        <v>JAMES TORRES RAMIREZ</v>
      </c>
      <c r="G36" s="26">
        <f>VLOOKUP(A36,[1]CPS!A35:AU219,43,FALSE)</f>
        <v>44585</v>
      </c>
      <c r="H36" s="22" t="str">
        <f>VLOOKUP(A36,[1]CPS!A35:AG219,9,FALSE)</f>
        <v>Prestar servicios técnicos y de apoyo a la gestión en la Dirección Territorial Amazonia de Parques Nacionales Naturales de Colombia, con el fin de adelantar las operaciones relacionadas con las áreas administrativas de contratos y pagaduría, en seguimientos y reportes que le sean solicitados y bases de datos establecidas por la entidad</v>
      </c>
      <c r="I36" s="27" t="s">
        <v>69</v>
      </c>
      <c r="J36" s="22" t="s">
        <v>70</v>
      </c>
      <c r="K36" s="25" t="s">
        <v>71</v>
      </c>
      <c r="L36" s="58">
        <f>VLOOKUP(A36,[1]CPS!A35:AG219,16,FALSE)</f>
        <v>8722</v>
      </c>
      <c r="M36" s="28">
        <f>VLOOKUP(A36,[1]CPS!A35:AG219,18,FALSE)</f>
        <v>8022</v>
      </c>
      <c r="N36" s="29">
        <f>VLOOKUP(A36,[1]CPS!A35:AG219,19,FALSE)</f>
        <v>44585</v>
      </c>
      <c r="O36" s="22" t="str">
        <f>VLOOKUP(A36,[1]CPS!A35:AU219,46,FALSE)</f>
        <v>FORTALECIMIENTO</v>
      </c>
      <c r="P36" s="30">
        <f>VLOOKUP(A36,[1]CPS!A35:AG219,13,FALSE)</f>
        <v>2812000</v>
      </c>
      <c r="Q36" s="31">
        <f>VLOOKUP(A36,[1]CPS!A35:AG219,12,FALSE)</f>
        <v>31588133</v>
      </c>
      <c r="R36" s="32"/>
      <c r="S36" s="22" t="s">
        <v>72</v>
      </c>
      <c r="T36" s="22" t="s">
        <v>73</v>
      </c>
      <c r="U36" s="33">
        <f>VLOOKUP(A36,[1]CPS!A35:AG219,5,FALSE)</f>
        <v>79866558</v>
      </c>
      <c r="V36" s="34" t="s">
        <v>74</v>
      </c>
      <c r="W36" s="21" t="s">
        <v>75</v>
      </c>
      <c r="X36" s="35" t="s">
        <v>71</v>
      </c>
      <c r="Y36" s="22" t="str">
        <f t="shared" si="0"/>
        <v>JAMES TORRES RAMIREZ</v>
      </c>
      <c r="Z36" s="22" t="str">
        <f>VLOOKUP(A36,[1]CPS!A35:AU219,35,FALSE)</f>
        <v>6 NO CONSTITUYÓ GARANTÍAS</v>
      </c>
      <c r="AA36" s="25" t="str">
        <f>VLOOKUP(A36,[1]CPS!A35:AU219,37,FALSE)</f>
        <v>N/A</v>
      </c>
      <c r="AB36" s="55" t="s">
        <v>71</v>
      </c>
      <c r="AC36" s="56" t="str">
        <f>VLOOKUP(A36,[1]CPS!A35:AU219,38,FALSE)</f>
        <v>N/A</v>
      </c>
      <c r="AD36" s="55" t="str">
        <f>VLOOKUP(A36,[1]CPS!A35:AU219,39,FALSE)</f>
        <v>N/A</v>
      </c>
      <c r="AE36" s="22" t="str">
        <f>VLOOKUP(A36,[1]CPS!A35:AU219,36,FALSE)</f>
        <v>Dirección Territorial Amazonía</v>
      </c>
      <c r="AF36" s="22" t="s">
        <v>77</v>
      </c>
      <c r="AG36" s="22" t="s">
        <v>73</v>
      </c>
      <c r="AH36" s="38">
        <f>VLOOKUP(A36,[1]CPS!A35:AU219,41,FALSE)</f>
        <v>41674698</v>
      </c>
      <c r="AI36" s="22" t="str">
        <f>VLOOKUP(A36,[1]CPS!A35:AU219,29,FALSE)</f>
        <v>CLAUDIA OFELIA MANRIQUE ROA</v>
      </c>
      <c r="AJ36" s="25">
        <f>VLOOKUP(A36,[1]CPS!A35:AH219,34,FALSE)</f>
        <v>337</v>
      </c>
      <c r="AK36" s="22"/>
      <c r="AL36" s="54" t="str">
        <f>VLOOKUP(A36,[1]CPS!A35:AU219,40,FALSE)</f>
        <v>N/A</v>
      </c>
      <c r="AM36" s="41">
        <f>VLOOKUP(A36,[1]CPS!A35:AU219,44,FALSE)</f>
        <v>44596</v>
      </c>
      <c r="AN36" s="22" t="s">
        <v>78</v>
      </c>
      <c r="AO36" s="22">
        <v>0</v>
      </c>
      <c r="AP36" s="42">
        <v>0</v>
      </c>
      <c r="AQ36" s="43"/>
      <c r="AR36" s="44">
        <v>0</v>
      </c>
      <c r="AS36" s="43"/>
      <c r="AT36" s="45">
        <f>VLOOKUP(A36,[1]CPS!A35:AU219,25,FALSE)</f>
        <v>44585</v>
      </c>
      <c r="AU36" s="45">
        <f>VLOOKUP(A36,[1]CPS!A35:AU219,26,FALSE)</f>
        <v>44925</v>
      </c>
      <c r="AV36" s="46"/>
      <c r="AW36" s="22" t="s">
        <v>79</v>
      </c>
      <c r="AX36" s="22"/>
      <c r="AY36" s="22"/>
      <c r="AZ36" s="22" t="s">
        <v>79</v>
      </c>
      <c r="BA36" s="22">
        <v>0</v>
      </c>
      <c r="BB36" s="22"/>
      <c r="BC36" s="22"/>
      <c r="BD36" s="22"/>
      <c r="BE36" s="47"/>
      <c r="BF36" s="59">
        <f t="shared" si="1"/>
        <v>31588133</v>
      </c>
      <c r="BG36" s="49" t="str">
        <f>VLOOKUP(A36,[1]CPS!A35:AU219,2,FALSE)</f>
        <v>NORYLY AGUIRRE OTALORA</v>
      </c>
      <c r="BH36" s="22" t="str">
        <f>VLOOKUP(A36,[1]CPS!A35:AU219,42,FALSE)</f>
        <v>https://www.secop.gov.co/CO1ContractsManagement/Tendering/ProcurementContractEdit/View?docUniqueIdentifier=CO1.PCCNTR.3390190</v>
      </c>
      <c r="BI36" s="22" t="s">
        <v>80</v>
      </c>
      <c r="BJ36" s="22"/>
      <c r="BK36" s="51" t="str">
        <f>VLOOKUP(A36,[1]CPS!A35:AU219,33,FALSE)</f>
        <v>https://community.secop.gov.co/Public/Tendering/ContractNoticePhases/View?PPI=CO1.PPI.16867078&amp;isFromPublicArea=True&amp;isModal=False</v>
      </c>
      <c r="BL36" s="52"/>
      <c r="BM36" s="52"/>
      <c r="BN36" s="22"/>
      <c r="BO36" s="53" t="s">
        <v>81</v>
      </c>
      <c r="BP36" s="22"/>
      <c r="BQ36" s="22"/>
      <c r="BR36" s="22"/>
    </row>
    <row r="37" spans="1:70" ht="12.75" customHeight="1">
      <c r="A37" s="21">
        <v>36</v>
      </c>
      <c r="B37" s="22" t="s">
        <v>116</v>
      </c>
      <c r="C37" s="23" t="s">
        <v>68</v>
      </c>
      <c r="D37" s="24" t="str">
        <f>VLOOKUP(A37,[1]CPS!A36:AG220,3,FALSE)</f>
        <v>CD-DTAM NACION-CPS No. 036 - 2022</v>
      </c>
      <c r="E37" s="25">
        <v>36</v>
      </c>
      <c r="F37" s="22" t="str">
        <f>VLOOKUP(A37,[1]CPS!A36:AG220,4,FALSE)</f>
        <v>JOSE WILIAN GARCIA ROJAS</v>
      </c>
      <c r="G37" s="26">
        <f>VLOOKUP(A37,[1]CPS!A36:AU220,43,FALSE)</f>
        <v>44581</v>
      </c>
      <c r="H37" s="22" t="str">
        <f>VLOOKUP(A37,[1]CPS!A36:AG220,9,FALSE)</f>
        <v>Prestar servicios de apoyo a la gestión al equipo técnico del área y realizar el mantenimiento básico a la sede administrativa, la maquinaria y los vehículos del Parque Nacional Natural Alto Fragua Indi Wasi en la vigencia 2022</v>
      </c>
      <c r="I37" s="27" t="s">
        <v>69</v>
      </c>
      <c r="J37" s="22" t="s">
        <v>70</v>
      </c>
      <c r="K37" s="25" t="s">
        <v>71</v>
      </c>
      <c r="L37" s="28">
        <f>VLOOKUP(A37,[1]CPS!A36:AG220,16,FALSE)</f>
        <v>4722</v>
      </c>
      <c r="M37" s="28">
        <f>VLOOKUP(A37,[1]CPS!A36:AG220,18,FALSE)</f>
        <v>4722</v>
      </c>
      <c r="N37" s="29">
        <f>VLOOKUP(A37,[1]CPS!A36:AG220,19,FALSE)</f>
        <v>44581</v>
      </c>
      <c r="O37" s="22" t="str">
        <f>VLOOKUP(A37,[1]CPS!A36:AU220,46,FALSE)</f>
        <v>ADMINISTRACION</v>
      </c>
      <c r="P37" s="30">
        <f>VLOOKUP(A37,[1]CPS!A36:AG220,13,FALSE)</f>
        <v>1412000</v>
      </c>
      <c r="Q37" s="31">
        <f>VLOOKUP(A37,[1]CPS!A36:AG220,12,FALSE)</f>
        <v>15532000</v>
      </c>
      <c r="R37" s="32"/>
      <c r="S37" s="22" t="s">
        <v>72</v>
      </c>
      <c r="T37" s="22" t="s">
        <v>73</v>
      </c>
      <c r="U37" s="33">
        <f>VLOOKUP(A37,[1]CPS!A36:AG220,5,FALSE)</f>
        <v>17616332</v>
      </c>
      <c r="V37" s="34" t="s">
        <v>74</v>
      </c>
      <c r="W37" s="21" t="s">
        <v>75</v>
      </c>
      <c r="X37" s="35" t="s">
        <v>71</v>
      </c>
      <c r="Y37" s="22" t="str">
        <f t="shared" si="0"/>
        <v>JOSE WILIAN GARCIA ROJAS</v>
      </c>
      <c r="Z37" s="22" t="str">
        <f>VLOOKUP(A37,[1]CPS!A36:AU220,35,FALSE)</f>
        <v>6 NO CONSTITUYÓ GARANTÍAS</v>
      </c>
      <c r="AA37" s="25" t="str">
        <f>VLOOKUP(A37,[1]CPS!A36:AU220,37,FALSE)</f>
        <v>N/A</v>
      </c>
      <c r="AB37" s="55" t="s">
        <v>71</v>
      </c>
      <c r="AC37" s="56" t="str">
        <f>VLOOKUP(A37,[1]CPS!A36:AU220,38,FALSE)</f>
        <v>N/A</v>
      </c>
      <c r="AD37" s="55" t="str">
        <f>VLOOKUP(A37,[1]CPS!A36:AU220,39,FALSE)</f>
        <v>N/A</v>
      </c>
      <c r="AE37" s="22" t="str">
        <f>VLOOKUP(A37,[1]CPS!A36:AU220,36,FALSE)</f>
        <v>PNN Alto Fragua Indi Wasi</v>
      </c>
      <c r="AF37" s="22" t="s">
        <v>77</v>
      </c>
      <c r="AG37" s="22" t="s">
        <v>73</v>
      </c>
      <c r="AH37" s="38">
        <f>VLOOKUP(A37,[1]CPS!A36:AU220,41,FALSE)</f>
        <v>28557787</v>
      </c>
      <c r="AI37" s="22" t="str">
        <f>VLOOKUP(A37,[1]CPS!A36:AU220,29,FALSE)</f>
        <v>ANGELICA CARVAJAL RUEDA</v>
      </c>
      <c r="AJ37" s="25">
        <f>VLOOKUP(A37,[1]CPS!A36:AH220,34,FALSE)</f>
        <v>330</v>
      </c>
      <c r="AK37" s="22"/>
      <c r="AL37" s="54" t="str">
        <f>VLOOKUP(A37,[1]CPS!A36:AU220,40,FALSE)</f>
        <v>N/A</v>
      </c>
      <c r="AM37" s="41">
        <f>VLOOKUP(A37,[1]CPS!A36:AU220,44,FALSE)</f>
        <v>44581</v>
      </c>
      <c r="AN37" s="22" t="s">
        <v>78</v>
      </c>
      <c r="AO37" s="22">
        <v>0</v>
      </c>
      <c r="AP37" s="42">
        <v>0</v>
      </c>
      <c r="AQ37" s="43"/>
      <c r="AR37" s="44">
        <v>0</v>
      </c>
      <c r="AS37" s="43"/>
      <c r="AT37" s="45">
        <f>VLOOKUP(A37,[1]CPS!A36:AU220,25,FALSE)</f>
        <v>44581</v>
      </c>
      <c r="AU37" s="45">
        <f>VLOOKUP(A37,[1]CPS!A36:AU220,26,FALSE)</f>
        <v>44580</v>
      </c>
      <c r="AV37" s="46"/>
      <c r="AW37" s="22" t="s">
        <v>79</v>
      </c>
      <c r="AX37" s="22"/>
      <c r="AY37" s="22"/>
      <c r="AZ37" s="22" t="s">
        <v>79</v>
      </c>
      <c r="BA37" s="22">
        <v>0</v>
      </c>
      <c r="BB37" s="22"/>
      <c r="BC37" s="22"/>
      <c r="BD37" s="22"/>
      <c r="BE37" s="47"/>
      <c r="BF37" s="59">
        <f t="shared" si="1"/>
        <v>15532000</v>
      </c>
      <c r="BG37" s="49" t="str">
        <f>VLOOKUP(A37,[1]CPS!A36:AU220,2,FALSE)</f>
        <v>NORYLY AGUIRRE OTALORA</v>
      </c>
      <c r="BH37" s="22" t="str">
        <f>VLOOKUP(A37,[1]CPS!A36:AU220,42,FALSE)</f>
        <v>https://www.secop.gov.co/CO1ContractsManagement/Tendering/ProcurementContractEdit/View?docUniqueIdentifier=CO1.PCCNTR.3326741</v>
      </c>
      <c r="BI37" s="22" t="s">
        <v>80</v>
      </c>
      <c r="BJ37" s="22"/>
      <c r="BK37" s="51" t="str">
        <f>VLOOKUP(A37,[1]CPS!A36:AU220,33,FALSE)</f>
        <v>https://community.secop.gov.co/Public/Tendering/ContractNoticePhases/View?PPI=CO1.PPI.16922506&amp;isFromPublicArea=True&amp;isModal=False</v>
      </c>
      <c r="BL37" s="52"/>
      <c r="BM37" s="52"/>
      <c r="BN37" s="22"/>
      <c r="BO37" s="53" t="s">
        <v>81</v>
      </c>
      <c r="BP37" s="22"/>
      <c r="BQ37" s="22"/>
      <c r="BR37" s="22"/>
    </row>
    <row r="38" spans="1:70" ht="12.75" customHeight="1">
      <c r="A38" s="21">
        <v>37</v>
      </c>
      <c r="B38" s="22" t="s">
        <v>117</v>
      </c>
      <c r="C38" s="23" t="s">
        <v>68</v>
      </c>
      <c r="D38" s="24" t="str">
        <f>VLOOKUP(A38,[1]CPS!A37:AG221,3,FALSE)</f>
        <v>CD-DTAM NACION-CPS No. 037 - 2022</v>
      </c>
      <c r="E38" s="25">
        <v>37</v>
      </c>
      <c r="F38" s="22" t="str">
        <f>VLOOKUP(A38,[1]CPS!A37:AG221,4,FALSE)</f>
        <v>JOHANNA LISBED QUINTERO JURADO</v>
      </c>
      <c r="G38" s="26">
        <f>VLOOKUP(A38,[1]CPS!A37:AU221,43,FALSE)</f>
        <v>44583</v>
      </c>
      <c r="H38" s="22" t="str">
        <f>VLOOKUP(A38,[1]CPS!A37:AG221,9,FALSE)</f>
        <v>Prestar servicios profesionales para seguimiento y evaluación de la planeación interna desarrollando actividades administrativas, de ejecución presupuestal, planeación institucional y apoyo a la contratación del Santuario de Flora Plantas Medicinales Orito Ingi Ande en la vigencia 2022</v>
      </c>
      <c r="I38" s="27" t="s">
        <v>69</v>
      </c>
      <c r="J38" s="22" t="s">
        <v>70</v>
      </c>
      <c r="K38" s="25" t="s">
        <v>71</v>
      </c>
      <c r="L38" s="28">
        <f>VLOOKUP(A38,[1]CPS!A37:AG221,16,FALSE)</f>
        <v>7722</v>
      </c>
      <c r="M38" s="28">
        <f>VLOOKUP(A38,[1]CPS!A37:AG221,18,FALSE)</f>
        <v>6722</v>
      </c>
      <c r="N38" s="29">
        <f>VLOOKUP(A38,[1]CPS!A37:AG221,19,FALSE)</f>
        <v>44584</v>
      </c>
      <c r="O38" s="22" t="str">
        <f>VLOOKUP(A38,[1]CPS!A37:AU221,46,FALSE)</f>
        <v>FORTALECIMIENTO</v>
      </c>
      <c r="P38" s="30">
        <f>VLOOKUP(A38,[1]CPS!A37:AG221,13,FALSE)</f>
        <v>3333000</v>
      </c>
      <c r="Q38" s="31">
        <f>VLOOKUP(A38,[1]CPS!A37:AG221,12,FALSE)</f>
        <v>36440800</v>
      </c>
      <c r="R38" s="32"/>
      <c r="S38" s="22" t="s">
        <v>72</v>
      </c>
      <c r="T38" s="22" t="s">
        <v>73</v>
      </c>
      <c r="U38" s="33">
        <f>VLOOKUP(A38,[1]CPS!A37:AG221,5,FALSE)</f>
        <v>59395312</v>
      </c>
      <c r="V38" s="34" t="s">
        <v>74</v>
      </c>
      <c r="W38" s="21" t="s">
        <v>75</v>
      </c>
      <c r="X38" s="35" t="s">
        <v>71</v>
      </c>
      <c r="Y38" s="22" t="str">
        <f t="shared" si="0"/>
        <v>JOHANNA LISBED QUINTERO JURADO</v>
      </c>
      <c r="Z38" s="22" t="str">
        <f>VLOOKUP(A38,[1]CPS!A37:AU221,35,FALSE)</f>
        <v>6 NO CONSTITUYÓ GARANTÍAS</v>
      </c>
      <c r="AA38" s="25" t="str">
        <f>VLOOKUP(A38,[1]CPS!A37:AU221,37,FALSE)</f>
        <v>N/A</v>
      </c>
      <c r="AB38" s="55" t="s">
        <v>71</v>
      </c>
      <c r="AC38" s="56" t="str">
        <f>VLOOKUP(A38,[1]CPS!A37:AU221,38,FALSE)</f>
        <v>N/A</v>
      </c>
      <c r="AD38" s="55" t="str">
        <f>VLOOKUP(A38,[1]CPS!A37:AU221,39,FALSE)</f>
        <v>N/A</v>
      </c>
      <c r="AE38" s="22" t="str">
        <f>VLOOKUP(A38,[1]CPS!A37:AU221,36,FALSE)</f>
        <v>SF Plantas Medicinales Orito Ingi-Ande</v>
      </c>
      <c r="AF38" s="22" t="s">
        <v>77</v>
      </c>
      <c r="AG38" s="22" t="s">
        <v>73</v>
      </c>
      <c r="AH38" s="38">
        <f>VLOOKUP(A38,[1]CPS!A37:AU221,41,FALSE)</f>
        <v>71114184</v>
      </c>
      <c r="AI38" s="22" t="str">
        <f>VLOOKUP(A38,[1]CPS!A37:AU221,29,FALSE)</f>
        <v>WALKER EMELEC HOYOS GIRALDO</v>
      </c>
      <c r="AJ38" s="25">
        <f>VLOOKUP(A38,[1]CPS!A37:AH221,34,FALSE)</f>
        <v>328</v>
      </c>
      <c r="AK38" s="22"/>
      <c r="AL38" s="54" t="str">
        <f>VLOOKUP(A38,[1]CPS!A37:AU221,40,FALSE)</f>
        <v>N/A</v>
      </c>
      <c r="AM38" s="41">
        <f>VLOOKUP(A38,[1]CPS!A37:AU221,44,FALSE)</f>
        <v>44584</v>
      </c>
      <c r="AN38" s="22" t="s">
        <v>78</v>
      </c>
      <c r="AO38" s="22">
        <v>0</v>
      </c>
      <c r="AP38" s="42">
        <v>0</v>
      </c>
      <c r="AQ38" s="43"/>
      <c r="AR38" s="44">
        <v>0</v>
      </c>
      <c r="AS38" s="43"/>
      <c r="AT38" s="45">
        <f>VLOOKUP(A38,[1]CPS!A37:AU221,25,FALSE)</f>
        <v>44584</v>
      </c>
      <c r="AU38" s="45">
        <f>VLOOKUP(A38,[1]CPS!A37:AU221,26,FALSE)</f>
        <v>44915</v>
      </c>
      <c r="AV38" s="46"/>
      <c r="AW38" s="22" t="s">
        <v>79</v>
      </c>
      <c r="AX38" s="22"/>
      <c r="AY38" s="22"/>
      <c r="AZ38" s="22" t="s">
        <v>79</v>
      </c>
      <c r="BA38" s="22">
        <v>0</v>
      </c>
      <c r="BB38" s="22"/>
      <c r="BC38" s="22"/>
      <c r="BD38" s="22"/>
      <c r="BE38" s="47"/>
      <c r="BF38" s="59">
        <f t="shared" si="1"/>
        <v>36440800</v>
      </c>
      <c r="BG38" s="49" t="str">
        <f>VLOOKUP(A38,[1]CPS!A37:AU221,2,FALSE)</f>
        <v>ALEJANDRO DELGADO LOZANO</v>
      </c>
      <c r="BH38" s="22" t="str">
        <f>VLOOKUP(A38,[1]CPS!A37:AU221,42,FALSE)</f>
        <v>https://www.secop.gov.co/CO1ContractsManagement/Tendering/ProcurementContractEdit/View?docUniqueIdentifier=CO1.PCCNTR.3370490</v>
      </c>
      <c r="BI38" s="22" t="s">
        <v>80</v>
      </c>
      <c r="BJ38" s="22"/>
      <c r="BK38" s="51" t="str">
        <f>VLOOKUP(A38,[1]CPS!A37:AU221,33,FALSE)</f>
        <v>https://community.secop.gov.co/Public/Tendering/OpportunityDetail/Index?noticeUID=CO1.NTC.2669597&amp;isFromPublicArea=True&amp;isModal=False</v>
      </c>
      <c r="BL38" s="52"/>
      <c r="BM38" s="52"/>
      <c r="BN38" s="22"/>
      <c r="BO38" s="53" t="s">
        <v>81</v>
      </c>
      <c r="BP38" s="22"/>
      <c r="BQ38" s="22"/>
      <c r="BR38" s="22"/>
    </row>
    <row r="39" spans="1:70" ht="12.75" customHeight="1">
      <c r="A39" s="21">
        <v>38</v>
      </c>
      <c r="B39" s="22" t="s">
        <v>118</v>
      </c>
      <c r="C39" s="23" t="s">
        <v>68</v>
      </c>
      <c r="D39" s="24" t="str">
        <f>VLOOKUP(A39,[1]CPS!A38:AG222,3,FALSE)</f>
        <v>CD-DTAM NACION-CPS No. 038 - 2022</v>
      </c>
      <c r="E39" s="25">
        <v>38</v>
      </c>
      <c r="F39" s="22" t="str">
        <f>VLOOKUP(A39,[1]CPS!A38:AG222,4,FALSE)</f>
        <v>ROMARIO ALDAIN GOMEZ GALLEGO</v>
      </c>
      <c r="G39" s="26">
        <f>VLOOKUP(A39,[1]CPS!A38:AU222,43,FALSE)</f>
        <v>44585</v>
      </c>
      <c r="H39" s="22" t="str">
        <f>VLOOKUP(A39,[1]CPS!A38:AG222,9,FALSE)</f>
        <v>Prestar apoyo como operario para realizar actividades de servicios generales y el apoyo a actividades operativas administrativas del SF PMOIA en la vigencia 2022.</v>
      </c>
      <c r="I39" s="27" t="s">
        <v>69</v>
      </c>
      <c r="J39" s="22" t="s">
        <v>70</v>
      </c>
      <c r="K39" s="25" t="s">
        <v>71</v>
      </c>
      <c r="L39" s="28">
        <f>VLOOKUP(A39,[1]CPS!A38:AG222,16,FALSE)</f>
        <v>9822</v>
      </c>
      <c r="M39" s="28">
        <f>VLOOKUP(A39,[1]CPS!A38:AG222,18,FALSE)</f>
        <v>8822</v>
      </c>
      <c r="N39" s="29">
        <f>VLOOKUP(A39,[1]CPS!A38:AG222,19,FALSE)</f>
        <v>44586</v>
      </c>
      <c r="O39" s="22" t="str">
        <f>VLOOKUP(A39,[1]CPS!A38:AU222,46,FALSE)</f>
        <v>ADMINISTRACION</v>
      </c>
      <c r="P39" s="30">
        <f>VLOOKUP(A39,[1]CPS!A38:AG222,13,FALSE)</f>
        <v>1412000</v>
      </c>
      <c r="Q39" s="31">
        <f>VLOOKUP(A39,[1]CPS!A38:AG222,12,FALSE)</f>
        <v>15532000</v>
      </c>
      <c r="R39" s="32"/>
      <c r="S39" s="22" t="s">
        <v>72</v>
      </c>
      <c r="T39" s="22" t="s">
        <v>73</v>
      </c>
      <c r="U39" s="33">
        <f>VLOOKUP(A39,[1]CPS!A38:AG222,5,FALSE)</f>
        <v>1124865219</v>
      </c>
      <c r="V39" s="34" t="s">
        <v>74</v>
      </c>
      <c r="W39" s="21" t="s">
        <v>75</v>
      </c>
      <c r="X39" s="35" t="s">
        <v>71</v>
      </c>
      <c r="Y39" s="22" t="str">
        <f t="shared" si="0"/>
        <v>ROMARIO ALDAIN GOMEZ GALLEGO</v>
      </c>
      <c r="Z39" s="22" t="str">
        <f>VLOOKUP(A39,[1]CPS!A38:AU222,35,FALSE)</f>
        <v>6 NO CONSTITUYÓ GARANTÍAS</v>
      </c>
      <c r="AA39" s="25" t="str">
        <f>VLOOKUP(A39,[1]CPS!A38:AU222,37,FALSE)</f>
        <v>N/A</v>
      </c>
      <c r="AB39" s="55" t="s">
        <v>71</v>
      </c>
      <c r="AC39" s="56" t="str">
        <f>VLOOKUP(A39,[1]CPS!A38:AU222,38,FALSE)</f>
        <v>N/A</v>
      </c>
      <c r="AD39" s="55" t="str">
        <f>VLOOKUP(A39,[1]CPS!A38:AU222,39,FALSE)</f>
        <v>N/A</v>
      </c>
      <c r="AE39" s="22" t="str">
        <f>VLOOKUP(A39,[1]CPS!A38:AU222,36,FALSE)</f>
        <v>SF Plantas Medicinales Orito Ingi-Ande</v>
      </c>
      <c r="AF39" s="22" t="s">
        <v>77</v>
      </c>
      <c r="AG39" s="22" t="s">
        <v>73</v>
      </c>
      <c r="AH39" s="38">
        <f>VLOOKUP(A39,[1]CPS!A38:AU222,41,FALSE)</f>
        <v>71114184</v>
      </c>
      <c r="AI39" s="22" t="str">
        <f>VLOOKUP(A39,[1]CPS!A38:AU222,29,FALSE)</f>
        <v>WALKER EMELEC HOYOS GIRALDO</v>
      </c>
      <c r="AJ39" s="25">
        <f>VLOOKUP(A39,[1]CPS!A38:AH222,34,FALSE)</f>
        <v>330</v>
      </c>
      <c r="AK39" s="22"/>
      <c r="AL39" s="54" t="str">
        <f>VLOOKUP(A39,[1]CPS!A38:AU222,40,FALSE)</f>
        <v>N/A</v>
      </c>
      <c r="AM39" s="41">
        <f>VLOOKUP(A39,[1]CPS!A38:AU222,44,FALSE)</f>
        <v>44585</v>
      </c>
      <c r="AN39" s="22" t="s">
        <v>78</v>
      </c>
      <c r="AO39" s="22">
        <v>0</v>
      </c>
      <c r="AP39" s="42">
        <v>0</v>
      </c>
      <c r="AQ39" s="43"/>
      <c r="AR39" s="44">
        <v>0</v>
      </c>
      <c r="AS39" s="43"/>
      <c r="AT39" s="45">
        <f>VLOOKUP(A39,[1]CPS!A38:AU222,25,FALSE)</f>
        <v>44920</v>
      </c>
      <c r="AU39" s="45">
        <f>VLOOKUP(A39,[1]CPS!A38:AU222,26,FALSE)</f>
        <v>44919</v>
      </c>
      <c r="AV39" s="46"/>
      <c r="AW39" s="22" t="s">
        <v>79</v>
      </c>
      <c r="AX39" s="22"/>
      <c r="AY39" s="22"/>
      <c r="AZ39" s="22" t="s">
        <v>79</v>
      </c>
      <c r="BA39" s="22">
        <v>0</v>
      </c>
      <c r="BB39" s="22"/>
      <c r="BC39" s="22"/>
      <c r="BD39" s="22"/>
      <c r="BE39" s="47"/>
      <c r="BF39" s="59">
        <f t="shared" si="1"/>
        <v>15532000</v>
      </c>
      <c r="BG39" s="49" t="str">
        <f>VLOOKUP(A39,[1]CPS!A38:AU222,2,FALSE)</f>
        <v>ALEJANDRO DELGADO LOZANO</v>
      </c>
      <c r="BH39" s="50" t="str">
        <f>VLOOKUP(A39,[1]CPS!A38:AU222,42,FALSE)</f>
        <v>https://www.secop.gov.co/CO1ContractsManagement/Tendering/ProcurementContractEdit/View?docUniqueIdentifier=CO1.PCCNTR.3398995</v>
      </c>
      <c r="BI39" s="22" t="s">
        <v>80</v>
      </c>
      <c r="BJ39" s="22"/>
      <c r="BK39" s="51" t="str">
        <f>VLOOKUP(A39,[1]CPS!A38:AU222,33,FALSE)</f>
        <v>https://community.secop.gov.co/Public/Tendering/OpportunityDetail/Index?noticeUID=CO1.NTC.2676447&amp;isFromPublicArea=True&amp;isModal=False</v>
      </c>
      <c r="BL39" s="52"/>
      <c r="BM39" s="52"/>
      <c r="BN39" s="22"/>
      <c r="BO39" s="53" t="s">
        <v>81</v>
      </c>
      <c r="BP39" s="22"/>
      <c r="BQ39" s="22"/>
      <c r="BR39" s="22"/>
    </row>
    <row r="40" spans="1:70" ht="12.75" customHeight="1">
      <c r="A40" s="21">
        <v>39</v>
      </c>
      <c r="B40" s="22" t="s">
        <v>119</v>
      </c>
      <c r="C40" s="23" t="s">
        <v>68</v>
      </c>
      <c r="D40" s="24" t="str">
        <f>VLOOKUP(A40,[1]CPS!A39:AG223,3,FALSE)</f>
        <v>CD-DTAM NACION-CPS No. 039 - 2022</v>
      </c>
      <c r="E40" s="25">
        <v>39</v>
      </c>
      <c r="F40" s="22" t="str">
        <f>VLOOKUP(A40,[1]CPS!A39:AG223,4,FALSE)</f>
        <v>PEDRO ELIAS CANAMEJOY MELO</v>
      </c>
      <c r="G40" s="26">
        <f>VLOOKUP(A40,[1]CPS!A39:AU223,43,FALSE)</f>
        <v>44585</v>
      </c>
      <c r="H40" s="22" t="str">
        <f>VLOOKUP(A40,[1]CPS!A39:AG223,9,FALSE)</f>
        <v>Prestar apoyo técnico para el desarrollo y seguimiento del proceso de restauración ecológica y cultural en la Zona De Restauración Ecológica Cultural del SF PMOIA en la vigencia 2022.</v>
      </c>
      <c r="I40" s="27" t="s">
        <v>69</v>
      </c>
      <c r="J40" s="22" t="s">
        <v>70</v>
      </c>
      <c r="K40" s="25" t="s">
        <v>71</v>
      </c>
      <c r="L40" s="28">
        <f>VLOOKUP(A40,[1]CPS!A39:AG223,16,FALSE)</f>
        <v>11222</v>
      </c>
      <c r="M40" s="28">
        <f>VLOOKUP(A40,[1]CPS!A39:AG223,18,FALSE)</f>
        <v>8722</v>
      </c>
      <c r="N40" s="29">
        <f>VLOOKUP(A40,[1]CPS!A39:AG223,19,FALSE)</f>
        <v>44586</v>
      </c>
      <c r="O40" s="22" t="str">
        <f>VLOOKUP(A40,[1]CPS!A39:AU223,46,FALSE)</f>
        <v>ADMINISTRACION</v>
      </c>
      <c r="P40" s="30">
        <f>VLOOKUP(A40,[1]CPS!A39:AG223,13,FALSE)</f>
        <v>2812000</v>
      </c>
      <c r="Q40" s="31">
        <f>VLOOKUP(A40,[1]CPS!A39:AG223,12,FALSE)</f>
        <v>30932000</v>
      </c>
      <c r="R40" s="32"/>
      <c r="S40" s="22" t="s">
        <v>72</v>
      </c>
      <c r="T40" s="22" t="s">
        <v>73</v>
      </c>
      <c r="U40" s="33">
        <f>VLOOKUP(A40,[1]CPS!A39:AG223,5,FALSE)</f>
        <v>83161648</v>
      </c>
      <c r="V40" s="34" t="s">
        <v>74</v>
      </c>
      <c r="W40" s="21" t="s">
        <v>75</v>
      </c>
      <c r="X40" s="35" t="s">
        <v>71</v>
      </c>
      <c r="Y40" s="22" t="str">
        <f t="shared" si="0"/>
        <v>PEDRO ELIAS CANAMEJOY MELO</v>
      </c>
      <c r="Z40" s="22" t="str">
        <f>VLOOKUP(A40,[1]CPS!A39:AU223,35,FALSE)</f>
        <v>6 NO CONSTITUYÓ GARANTÍAS</v>
      </c>
      <c r="AA40" s="25" t="str">
        <f>VLOOKUP(A40,[1]CPS!A39:AU223,37,FALSE)</f>
        <v>N/A</v>
      </c>
      <c r="AB40" s="55" t="s">
        <v>71</v>
      </c>
      <c r="AC40" s="56" t="str">
        <f>VLOOKUP(A40,[1]CPS!A39:AU223,38,FALSE)</f>
        <v>N/A</v>
      </c>
      <c r="AD40" s="55" t="str">
        <f>VLOOKUP(A40,[1]CPS!A39:AU223,39,FALSE)</f>
        <v>N/A</v>
      </c>
      <c r="AE40" s="22" t="str">
        <f>VLOOKUP(A40,[1]CPS!A39:AU223,36,FALSE)</f>
        <v>SF Plantas Medicinales Orito Ingi-Ande</v>
      </c>
      <c r="AF40" s="22" t="s">
        <v>77</v>
      </c>
      <c r="AG40" s="22" t="s">
        <v>73</v>
      </c>
      <c r="AH40" s="38">
        <f>VLOOKUP(A40,[1]CPS!A39:AU223,41,FALSE)</f>
        <v>71114184</v>
      </c>
      <c r="AI40" s="22" t="str">
        <f>VLOOKUP(A40,[1]CPS!A39:AU223,29,FALSE)</f>
        <v>WALKER EMELEC HOYOS GIRALDO</v>
      </c>
      <c r="AJ40" s="25">
        <f>VLOOKUP(A40,[1]CPS!A39:AH223,34,FALSE)</f>
        <v>330</v>
      </c>
      <c r="AK40" s="22"/>
      <c r="AL40" s="54" t="str">
        <f>VLOOKUP(A40,[1]CPS!A39:AU223,40,FALSE)</f>
        <v>N/A</v>
      </c>
      <c r="AM40" s="41">
        <f>VLOOKUP(A40,[1]CPS!A39:AU223,44,FALSE)</f>
        <v>44586</v>
      </c>
      <c r="AN40" s="22" t="s">
        <v>78</v>
      </c>
      <c r="AO40" s="22">
        <v>0</v>
      </c>
      <c r="AP40" s="42">
        <v>0</v>
      </c>
      <c r="AQ40" s="43"/>
      <c r="AR40" s="44">
        <v>0</v>
      </c>
      <c r="AS40" s="43"/>
      <c r="AT40" s="45">
        <f>VLOOKUP(A40,[1]CPS!A39:AU223,25,FALSE)</f>
        <v>44586</v>
      </c>
      <c r="AU40" s="45">
        <f>VLOOKUP(A40,[1]CPS!A39:AU223,26,FALSE)</f>
        <v>44919</v>
      </c>
      <c r="AV40" s="46"/>
      <c r="AW40" s="22" t="s">
        <v>79</v>
      </c>
      <c r="AX40" s="22"/>
      <c r="AY40" s="22"/>
      <c r="AZ40" s="22" t="s">
        <v>79</v>
      </c>
      <c r="BA40" s="22">
        <v>0</v>
      </c>
      <c r="BB40" s="22"/>
      <c r="BC40" s="22"/>
      <c r="BD40" s="22"/>
      <c r="BE40" s="47"/>
      <c r="BF40" s="59">
        <f t="shared" si="1"/>
        <v>30932000</v>
      </c>
      <c r="BG40" s="49" t="str">
        <f>VLOOKUP(A40,[1]CPS!A39:AU223,2,FALSE)</f>
        <v>ALEJANDRO DELGADO LOZANO</v>
      </c>
      <c r="BH40" s="50" t="str">
        <f>VLOOKUP(A40,[1]CPS!A39:AU223,42,FALSE)</f>
        <v>https://www.secop.gov.co/CO1ContractsManagement/Tendering/ProcurementContractEdit/View?docUniqueIdentifier=CO1.PCCNTR.3394353</v>
      </c>
      <c r="BI40" s="22" t="s">
        <v>80</v>
      </c>
      <c r="BJ40" s="22"/>
      <c r="BK40" s="51" t="str">
        <f>VLOOKUP(A40,[1]CPS!A39:AU223,33,FALSE)</f>
        <v>https://community.secop.gov.co/Public/Tendering/OpportunityDetail/Index?noticeUID=CO1.NTC.2682771&amp;isFromPublicArea=True&amp;isModal=False</v>
      </c>
      <c r="BL40" s="52"/>
      <c r="BM40" s="52"/>
      <c r="BN40" s="22"/>
      <c r="BO40" s="53" t="s">
        <v>81</v>
      </c>
      <c r="BP40" s="22"/>
      <c r="BQ40" s="22"/>
      <c r="BR40" s="22"/>
    </row>
    <row r="41" spans="1:70" ht="12.75" customHeight="1">
      <c r="A41" s="21">
        <v>40</v>
      </c>
      <c r="B41" s="22" t="s">
        <v>120</v>
      </c>
      <c r="C41" s="23" t="s">
        <v>68</v>
      </c>
      <c r="D41" s="24" t="str">
        <f>VLOOKUP(A41,[1]CPS!A40:AG224,3,FALSE)</f>
        <v>CD-DTAM NACION-CPS No. 040 - 2022</v>
      </c>
      <c r="E41" s="25">
        <v>40</v>
      </c>
      <c r="F41" s="22" t="str">
        <f>VLOOKUP(A41,[1]CPS!A40:AG224,4,FALSE)</f>
        <v>SANTIAGO TORO DUQUE</v>
      </c>
      <c r="G41" s="26">
        <f>VLOOKUP(A41,[1]CPS!A40:AU224,43,FALSE)</f>
        <v>44586</v>
      </c>
      <c r="H41" s="22" t="str">
        <f>VLOOKUP(A41,[1]CPS!A40:AG224,9,FALSE)</f>
        <v>Prestar servicios profesionales para la implementación de las actividades de educación ambiental identificadas en la matriz cero del SF PMOIA para la vigencia 2022.</v>
      </c>
      <c r="I41" s="27" t="s">
        <v>69</v>
      </c>
      <c r="J41" s="22" t="s">
        <v>70</v>
      </c>
      <c r="K41" s="25" t="s">
        <v>71</v>
      </c>
      <c r="L41" s="28">
        <f>VLOOKUP(A41,[1]CPS!A40:AG224,16,FALSE)</f>
        <v>13222</v>
      </c>
      <c r="M41" s="28">
        <f>VLOOKUP(A41,[1]CPS!A40:AG224,18,FALSE)</f>
        <v>9522</v>
      </c>
      <c r="N41" s="29">
        <f>VLOOKUP(A41,[1]CPS!A40:AG224,19,FALSE)</f>
        <v>44586</v>
      </c>
      <c r="O41" s="22" t="str">
        <f>VLOOKUP(A41,[1]CPS!A40:AU224,46,FALSE)</f>
        <v>ADMINISTRACION</v>
      </c>
      <c r="P41" s="30">
        <f>VLOOKUP(A41,[1]CPS!A40:AG224,13,FALSE)</f>
        <v>4100000</v>
      </c>
      <c r="Q41" s="31">
        <f>VLOOKUP(A41,[1]CPS!A40:AG224,12,FALSE)</f>
        <v>34850000</v>
      </c>
      <c r="R41" s="32"/>
      <c r="S41" s="22" t="s">
        <v>72</v>
      </c>
      <c r="T41" s="22" t="s">
        <v>73</v>
      </c>
      <c r="U41" s="33">
        <f>VLOOKUP(A41,[1]CPS!A40:AG224,5,FALSE)</f>
        <v>1026278637</v>
      </c>
      <c r="V41" s="34" t="s">
        <v>74</v>
      </c>
      <c r="W41" s="21" t="s">
        <v>75</v>
      </c>
      <c r="X41" s="35" t="s">
        <v>71</v>
      </c>
      <c r="Y41" s="22" t="str">
        <f t="shared" si="0"/>
        <v>SANTIAGO TORO DUQUE</v>
      </c>
      <c r="Z41" s="22" t="str">
        <f>VLOOKUP(A41,[1]CPS!A40:AU224,35,FALSE)</f>
        <v>6 NO CONSTITUYÓ GARANTÍAS</v>
      </c>
      <c r="AA41" s="25" t="str">
        <f>VLOOKUP(A41,[1]CPS!A40:AU224,37,FALSE)</f>
        <v>N/A</v>
      </c>
      <c r="AB41" s="55" t="s">
        <v>71</v>
      </c>
      <c r="AC41" s="56" t="str">
        <f>VLOOKUP(A41,[1]CPS!A40:AU224,38,FALSE)</f>
        <v>N/A</v>
      </c>
      <c r="AD41" s="55" t="str">
        <f>VLOOKUP(A41,[1]CPS!A40:AU224,39,FALSE)</f>
        <v>N/A</v>
      </c>
      <c r="AE41" s="22" t="str">
        <f>VLOOKUP(A41,[1]CPS!A40:AU224,36,FALSE)</f>
        <v>SF Plantas Medicinales Orito Ingi-Ande</v>
      </c>
      <c r="AF41" s="22" t="s">
        <v>77</v>
      </c>
      <c r="AG41" s="22" t="s">
        <v>73</v>
      </c>
      <c r="AH41" s="38">
        <f>VLOOKUP(A41,[1]CPS!A40:AU224,41,FALSE)</f>
        <v>71114184</v>
      </c>
      <c r="AI41" s="22" t="str">
        <f>VLOOKUP(A41,[1]CPS!A40:AU224,29,FALSE)</f>
        <v>WALKER EMELEC HOYOS GIRALDO</v>
      </c>
      <c r="AJ41" s="25">
        <f>VLOOKUP(A41,[1]CPS!A40:AH224,34,FALSE)</f>
        <v>255</v>
      </c>
      <c r="AK41" s="22"/>
      <c r="AL41" s="54" t="str">
        <f>VLOOKUP(A41,[1]CPS!A40:AU224,40,FALSE)</f>
        <v>N/A</v>
      </c>
      <c r="AM41" s="41">
        <f>VLOOKUP(A41,[1]CPS!A40:AU224,44,FALSE)</f>
        <v>44586</v>
      </c>
      <c r="AN41" s="22" t="s">
        <v>78</v>
      </c>
      <c r="AO41" s="22">
        <v>0</v>
      </c>
      <c r="AP41" s="42">
        <v>0</v>
      </c>
      <c r="AQ41" s="43"/>
      <c r="AR41" s="44">
        <v>0</v>
      </c>
      <c r="AS41" s="43"/>
      <c r="AT41" s="45">
        <f>VLOOKUP(A41,[1]CPS!A40:AU224,25,FALSE)</f>
        <v>44586</v>
      </c>
      <c r="AU41" s="45">
        <f>VLOOKUP(A41,[1]CPS!A40:AU224,26,FALSE)</f>
        <v>44812</v>
      </c>
      <c r="AV41" s="46"/>
      <c r="AW41" s="22" t="s">
        <v>79</v>
      </c>
      <c r="AX41" s="22"/>
      <c r="AY41" s="22"/>
      <c r="AZ41" s="22" t="s">
        <v>79</v>
      </c>
      <c r="BA41" s="22">
        <v>0</v>
      </c>
      <c r="BB41" s="22"/>
      <c r="BC41" s="22"/>
      <c r="BD41" s="22"/>
      <c r="BE41" s="47"/>
      <c r="BF41" s="59">
        <f t="shared" si="1"/>
        <v>34850000</v>
      </c>
      <c r="BG41" s="49" t="str">
        <f>VLOOKUP(A41,[1]CPS!A40:AU224,2,FALSE)</f>
        <v>ALEJANDRO DELGADO LOZANO</v>
      </c>
      <c r="BH41" s="50" t="str">
        <f>VLOOKUP(A41,[1]CPS!A40:AU224,42,FALSE)</f>
        <v>https://www.secop.gov.co/CO1ContractsManagement/Tendering/ProcurementContractEdit/View?docUniqueIdentifier=CO1.PCCNTR.3417356</v>
      </c>
      <c r="BI41" s="22" t="s">
        <v>80</v>
      </c>
      <c r="BJ41" s="22"/>
      <c r="BK41" s="51" t="str">
        <f>VLOOKUP(A41,[1]CPS!A40:AU224,33,FALSE)</f>
        <v>https://community.secop.gov.co/Public/Tendering/OpportunityDetail/Index?noticeUID=CO1.NTC.2708468&amp;isFromPublicArea=True&amp;isModal=False</v>
      </c>
      <c r="BL41" s="52"/>
      <c r="BM41" s="52"/>
      <c r="BN41" s="22"/>
      <c r="BO41" s="53" t="s">
        <v>81</v>
      </c>
      <c r="BP41" s="22"/>
      <c r="BQ41" s="22"/>
      <c r="BR41" s="22"/>
    </row>
    <row r="42" spans="1:70" ht="12.75" customHeight="1">
      <c r="A42" s="21">
        <v>41</v>
      </c>
      <c r="B42" s="22" t="s">
        <v>121</v>
      </c>
      <c r="C42" s="23" t="s">
        <v>68</v>
      </c>
      <c r="D42" s="24" t="str">
        <f>VLOOKUP(A42,[1]CPS!A41:AG225,3,FALSE)</f>
        <v>CD-DTAM NACION-CPS No. 041 - 2022</v>
      </c>
      <c r="E42" s="25">
        <v>41</v>
      </c>
      <c r="F42" s="22" t="str">
        <f>VLOOKUP(A42,[1]CPS!A41:AG225,4,FALSE)</f>
        <v xml:space="preserve">JULIETT MARITZA GONZALEZ CARVAJAL </v>
      </c>
      <c r="G42" s="26">
        <f>VLOOKUP(A42,[1]CPS!A41:AU225,43,FALSE)</f>
        <v>44586</v>
      </c>
      <c r="H42" s="22" t="str">
        <f>VLOOKUP(A42,[1]CPS!A41:AG225,9,FALSE)</f>
        <v>Prestar servicios profesionales para apoyar las acciones de investigación y monitoreo de las Prioridades Integrales de Conservación y apoyo en el programa de Restauración Ecológica y cultural en relación con el proceso de monitoreo del SF PMOIA en la vigencia 2022.</v>
      </c>
      <c r="I42" s="27" t="s">
        <v>69</v>
      </c>
      <c r="J42" s="22" t="s">
        <v>70</v>
      </c>
      <c r="K42" s="25" t="s">
        <v>71</v>
      </c>
      <c r="L42" s="28">
        <f>VLOOKUP(A42,[1]CPS!A41:AG225,16,FALSE)</f>
        <v>11422</v>
      </c>
      <c r="M42" s="28">
        <f>VLOOKUP(A42,[1]CPS!A41:AG225,18,FALSE)</f>
        <v>9722</v>
      </c>
      <c r="N42" s="29">
        <f>VLOOKUP(A42,[1]CPS!A41:AG225,19,FALSE)</f>
        <v>44587</v>
      </c>
      <c r="O42" s="22" t="str">
        <f>VLOOKUP(A42,[1]CPS!A41:AU225,46,FALSE)</f>
        <v>ADMINISTRACION</v>
      </c>
      <c r="P42" s="30">
        <f>VLOOKUP(A42,[1]CPS!A41:AG225,13,FALSE)</f>
        <v>4100000</v>
      </c>
      <c r="Q42" s="31">
        <f>VLOOKUP(A42,[1]CPS!A41:AG225,12,FALSE)</f>
        <v>44689999</v>
      </c>
      <c r="R42" s="32"/>
      <c r="S42" s="22" t="s">
        <v>72</v>
      </c>
      <c r="T42" s="22" t="s">
        <v>73</v>
      </c>
      <c r="U42" s="33">
        <f>VLOOKUP(A42,[1]CPS!A41:AG225,5,FALSE)</f>
        <v>1052385536</v>
      </c>
      <c r="V42" s="34" t="s">
        <v>74</v>
      </c>
      <c r="W42" s="21" t="s">
        <v>75</v>
      </c>
      <c r="X42" s="35" t="s">
        <v>71</v>
      </c>
      <c r="Y42" s="22" t="str">
        <f t="shared" si="0"/>
        <v xml:space="preserve">JULIETT MARITZA GONZALEZ CARVAJAL </v>
      </c>
      <c r="Z42" s="22" t="str">
        <f>VLOOKUP(A42,[1]CPS!A41:AU225,35,FALSE)</f>
        <v>6 NO CONSTITUYÓ GARANTÍAS</v>
      </c>
      <c r="AA42" s="25" t="str">
        <f>VLOOKUP(A42,[1]CPS!A41:AU225,37,FALSE)</f>
        <v>N/A</v>
      </c>
      <c r="AB42" s="55" t="s">
        <v>71</v>
      </c>
      <c r="AC42" s="56" t="str">
        <f>VLOOKUP(A42,[1]CPS!A41:AU225,38,FALSE)</f>
        <v>N/A</v>
      </c>
      <c r="AD42" s="55" t="str">
        <f>VLOOKUP(A42,[1]CPS!A41:AU225,39,FALSE)</f>
        <v>N/A</v>
      </c>
      <c r="AE42" s="22" t="str">
        <f>VLOOKUP(A42,[1]CPS!A41:AU225,36,FALSE)</f>
        <v>SF Plantas Medicinales Orito Ingi-Ande</v>
      </c>
      <c r="AF42" s="22" t="s">
        <v>77</v>
      </c>
      <c r="AG42" s="22" t="s">
        <v>73</v>
      </c>
      <c r="AH42" s="38">
        <f>VLOOKUP(A42,[1]CPS!A41:AU225,41,FALSE)</f>
        <v>71114184</v>
      </c>
      <c r="AI42" s="22" t="str">
        <f>VLOOKUP(A42,[1]CPS!A41:AU225,29,FALSE)</f>
        <v>WALKER EMELEC HOYOS GIRALDO</v>
      </c>
      <c r="AJ42" s="25">
        <f>VLOOKUP(A42,[1]CPS!A41:AH225,34,FALSE)</f>
        <v>327</v>
      </c>
      <c r="AK42" s="22"/>
      <c r="AL42" s="54" t="str">
        <f>VLOOKUP(A42,[1]CPS!A41:AU225,40,FALSE)</f>
        <v>N/A</v>
      </c>
      <c r="AM42" s="41">
        <f>VLOOKUP(A42,[1]CPS!A41:AU225,44,FALSE)</f>
        <v>44587</v>
      </c>
      <c r="AN42" s="22" t="s">
        <v>78</v>
      </c>
      <c r="AO42" s="22">
        <v>0</v>
      </c>
      <c r="AP42" s="42">
        <v>0</v>
      </c>
      <c r="AQ42" s="43"/>
      <c r="AR42" s="44">
        <v>0</v>
      </c>
      <c r="AS42" s="43"/>
      <c r="AT42" s="45">
        <f>VLOOKUP(A42,[1]CPS!A41:AU225,25,FALSE)</f>
        <v>44222</v>
      </c>
      <c r="AU42" s="45">
        <f>VLOOKUP(A42,[1]CPS!A41:AU225,26,FALSE)</f>
        <v>44916</v>
      </c>
      <c r="AV42" s="46"/>
      <c r="AW42" s="22" t="s">
        <v>79</v>
      </c>
      <c r="AX42" s="22"/>
      <c r="AY42" s="22"/>
      <c r="AZ42" s="22" t="s">
        <v>79</v>
      </c>
      <c r="BA42" s="22">
        <v>0</v>
      </c>
      <c r="BB42" s="22"/>
      <c r="BC42" s="22"/>
      <c r="BD42" s="22"/>
      <c r="BE42" s="47"/>
      <c r="BF42" s="59">
        <f t="shared" si="1"/>
        <v>44689999</v>
      </c>
      <c r="BG42" s="49" t="str">
        <f>VLOOKUP(A42,[1]CPS!A41:AU225,2,FALSE)</f>
        <v>ALEJANDRO DELGADO LOZANO</v>
      </c>
      <c r="BH42" s="50" t="str">
        <f>VLOOKUP(A42,[1]CPS!A41:AU225,42,FALSE)</f>
        <v>https://www.secop.gov.co/CO1ContractsManagement/Tendering/ProcurementContractEdit/View?docUniqueIdentifier=CO1.PCCNTR.3426441</v>
      </c>
      <c r="BI42" s="22" t="s">
        <v>80</v>
      </c>
      <c r="BJ42" s="22"/>
      <c r="BK42" s="51" t="str">
        <f>VLOOKUP(A42,[1]CPS!A41:AU225,33,FALSE)</f>
        <v>https://community.secop.gov.co/Public/Tendering/OpportunityDetail/Index?noticeUID=CO1.NTC.2714627&amp;isFromPublicArea=True&amp;isModal=False</v>
      </c>
      <c r="BL42" s="52"/>
      <c r="BM42" s="52"/>
      <c r="BN42" s="22"/>
      <c r="BO42" s="53" t="s">
        <v>81</v>
      </c>
      <c r="BP42" s="22"/>
      <c r="BQ42" s="22"/>
      <c r="BR42" s="22"/>
    </row>
    <row r="43" spans="1:70" s="61" customFormat="1" ht="12.75" customHeight="1">
      <c r="A43" s="61">
        <v>42</v>
      </c>
      <c r="B43" s="62" t="s">
        <v>122</v>
      </c>
      <c r="C43" s="63" t="s">
        <v>68</v>
      </c>
      <c r="D43" s="64" t="str">
        <f>VLOOKUP(A43,[1]CPS!A42:AG226,3,FALSE)</f>
        <v>CD-DTAM NACION-CPS No. 042 - 2022</v>
      </c>
      <c r="E43" s="65">
        <v>42</v>
      </c>
      <c r="F43" s="62" t="str">
        <f>VLOOKUP(A43,[1]CPS!A42:AG226,4,FALSE)</f>
        <v>ENAR ARLEY LUCITANTE PAYAGUAJE</v>
      </c>
      <c r="G43" s="66" t="str">
        <f>VLOOKUP(A43,[1]CPS!A42:AU226,43,FALSE)</f>
        <v>N/A</v>
      </c>
      <c r="H43" s="62" t="str">
        <f>VLOOKUP(A43,[1]CPS!A42:AG226,9,FALSE)</f>
        <v>Prestar apoyo como operario para el desarrollo de acciones coordinadas con las autoridades tradicionales para el cumplimiento de los objetivos de conservación del SF PMOIA en la vigencia 202</v>
      </c>
      <c r="I43" s="67" t="s">
        <v>69</v>
      </c>
      <c r="J43" s="62" t="s">
        <v>70</v>
      </c>
      <c r="K43" s="65" t="s">
        <v>71</v>
      </c>
      <c r="L43" s="68">
        <f>VLOOKUP(A43,[1]CPS!A42:AG226,16,FALSE)</f>
        <v>11922</v>
      </c>
      <c r="M43" s="68">
        <f>VLOOKUP(A43,[1]CPS!A42:AG226,18,FALSE)</f>
        <v>11522</v>
      </c>
      <c r="N43" s="69">
        <f>VLOOKUP(A43,[1]CPS!A42:AG226,19,FALSE)</f>
        <v>44587</v>
      </c>
      <c r="O43" s="62" t="str">
        <f>VLOOKUP(A43,[1]CPS!A42:AU226,46,FALSE)</f>
        <v>ADMINISTRACION</v>
      </c>
      <c r="P43" s="70">
        <f>VLOOKUP(A43,[1]CPS!A42:AG226,13,FALSE)</f>
        <v>1412000</v>
      </c>
      <c r="Q43" s="71">
        <f>VLOOKUP(A43,[1]CPS!A42:AG226,12,FALSE)</f>
        <v>15532000</v>
      </c>
      <c r="R43" s="72"/>
      <c r="S43" s="62" t="s">
        <v>72</v>
      </c>
      <c r="T43" s="62" t="s">
        <v>73</v>
      </c>
      <c r="U43" s="73">
        <f>VLOOKUP(A43,[1]CPS!A42:AG226,5,FALSE)</f>
        <v>1126454352</v>
      </c>
      <c r="V43" s="74" t="s">
        <v>74</v>
      </c>
      <c r="W43" s="61" t="s">
        <v>75</v>
      </c>
      <c r="X43" s="75" t="s">
        <v>71</v>
      </c>
      <c r="Y43" s="62" t="str">
        <f t="shared" si="0"/>
        <v>ENAR ARLEY LUCITANTE PAYAGUAJE</v>
      </c>
      <c r="Z43" s="62" t="str">
        <f>VLOOKUP(A43,[1]CPS!A42:AU226,35,FALSE)</f>
        <v>6 NO CONSTITUYÓ GARANTÍAS</v>
      </c>
      <c r="AA43" s="65" t="str">
        <f>VLOOKUP(A43,[1]CPS!A42:AU226,37,FALSE)</f>
        <v>N/A</v>
      </c>
      <c r="AB43" s="76" t="s">
        <v>71</v>
      </c>
      <c r="AC43" s="77" t="str">
        <f>VLOOKUP(A43,[1]CPS!A42:AU226,38,FALSE)</f>
        <v>N/A</v>
      </c>
      <c r="AD43" s="76" t="str">
        <f>VLOOKUP(A43,[1]CPS!A42:AU226,39,FALSE)</f>
        <v>N/A</v>
      </c>
      <c r="AE43" s="62" t="str">
        <f>VLOOKUP(A43,[1]CPS!A42:AU226,36,FALSE)</f>
        <v>SF Plantas Medicinales Orito Ingi-Ande</v>
      </c>
      <c r="AF43" s="62" t="s">
        <v>77</v>
      </c>
      <c r="AG43" s="62" t="s">
        <v>73</v>
      </c>
      <c r="AH43" s="78">
        <f>VLOOKUP(A43,[1]CPS!A42:AU226,41,FALSE)</f>
        <v>71114184</v>
      </c>
      <c r="AI43" s="62" t="str">
        <f>VLOOKUP(A43,[1]CPS!A42:AU226,29,FALSE)</f>
        <v>WALKER EMELEC HOYOS GIRALDO</v>
      </c>
      <c r="AJ43" s="65">
        <f>VLOOKUP(A43,[1]CPS!A42:AH226,34,FALSE)</f>
        <v>330</v>
      </c>
      <c r="AK43" s="22"/>
      <c r="AL43" s="79" t="str">
        <f>VLOOKUP(A43,[1]CPS!A42:AU226,40,FALSE)</f>
        <v>N/A</v>
      </c>
      <c r="AM43" s="80">
        <f>VLOOKUP(A43,[1]CPS!A42:AU226,44,FALSE)</f>
        <v>44587</v>
      </c>
      <c r="AN43" s="62" t="s">
        <v>78</v>
      </c>
      <c r="AO43" s="62">
        <v>0</v>
      </c>
      <c r="AP43" s="81">
        <v>0</v>
      </c>
      <c r="AQ43" s="82"/>
      <c r="AR43" s="83">
        <v>0</v>
      </c>
      <c r="AS43" s="82"/>
      <c r="AT43" s="84">
        <f>VLOOKUP(A43,[1]CPS!A42:AU226,25,FALSE)</f>
        <v>44587</v>
      </c>
      <c r="AU43" s="84">
        <f>VLOOKUP(A43,[1]CPS!A42:AU226,26,FALSE)</f>
        <v>44588</v>
      </c>
      <c r="AV43" s="85"/>
      <c r="AW43" s="62" t="s">
        <v>79</v>
      </c>
      <c r="AX43" s="62"/>
      <c r="AY43" s="62"/>
      <c r="AZ43" s="62" t="s">
        <v>79</v>
      </c>
      <c r="BA43" s="62">
        <v>0</v>
      </c>
      <c r="BB43" s="62"/>
      <c r="BC43" s="62"/>
      <c r="BD43" s="22"/>
      <c r="BE43" s="47"/>
      <c r="BF43" s="59">
        <f t="shared" si="1"/>
        <v>15532000</v>
      </c>
      <c r="BG43" s="49" t="str">
        <f>VLOOKUP(A43,[1]CPS!A42:AU226,2,FALSE)</f>
        <v>ALEJANDRO DELGADO LOZANO</v>
      </c>
      <c r="BH43" s="62" t="str">
        <f>VLOOKUP(A43,[1]CPS!A42:AU226,42,FALSE)</f>
        <v xml:space="preserve">LIQUIDADO </v>
      </c>
      <c r="BI43" s="62" t="s">
        <v>80</v>
      </c>
      <c r="BJ43" s="62"/>
      <c r="BK43" s="86" t="str">
        <f>VLOOKUP(A43,[1]CPS!A42:AU226,33,FALSE)</f>
        <v>https://community.secop.gov.co/Public/Tendering/OpportunityDetail/Index?noticeUID=CO1.NTC.2685462&amp;isFromPublicArea=True&amp;isModal=False</v>
      </c>
      <c r="BL43" s="87"/>
      <c r="BM43" s="87"/>
      <c r="BN43" s="62"/>
      <c r="BO43" s="88" t="s">
        <v>81</v>
      </c>
      <c r="BP43" s="62" t="s">
        <v>123</v>
      </c>
      <c r="BQ43" s="62"/>
      <c r="BR43" s="62"/>
    </row>
    <row r="44" spans="1:70" ht="12.75" customHeight="1">
      <c r="A44" s="21">
        <v>43</v>
      </c>
      <c r="B44" s="22" t="s">
        <v>124</v>
      </c>
      <c r="C44" s="23" t="s">
        <v>68</v>
      </c>
      <c r="D44" s="24" t="str">
        <f>VLOOKUP(A44,[1]CPS!A43:AG227,3,FALSE)</f>
        <v>CD-DTAM NACION-CPS No. 043 - 2022</v>
      </c>
      <c r="E44" s="25">
        <v>43</v>
      </c>
      <c r="F44" s="22" t="str">
        <f>VLOOKUP(A44,[1]CPS!A43:AG227,4,FALSE)</f>
        <v>ZOILA MARIA TAIMAL</v>
      </c>
      <c r="G44" s="26">
        <f>VLOOKUP(A44,[1]CPS!A43:AU227,43,FALSE)</f>
        <v>44617</v>
      </c>
      <c r="H44" s="22" t="str">
        <f>VLOOKUP(A44,[1]CPS!A43:AG227,9,FALSE)</f>
        <v>Prestar apoyo como operario para el desarrollo de acciones coordinadas con las autoridades tradicionales, en especial con las abuelas, de los resguardos de Santa Rosa del Guamuez, Campoalegre del Afilador y Yarinal San Marcelino, que aporten al cumplimiento de los objetivos de conservación del SF PMOIA.</v>
      </c>
      <c r="I44" s="27" t="s">
        <v>69</v>
      </c>
      <c r="J44" s="22" t="s">
        <v>70</v>
      </c>
      <c r="K44" s="25" t="s">
        <v>71</v>
      </c>
      <c r="L44" s="28">
        <f>VLOOKUP(A44,[1]CPS!A43:AG227,16,FALSE)</f>
        <v>12022</v>
      </c>
      <c r="M44" s="28">
        <f>VLOOKUP(A44,[1]CPS!A43:AG227,18,FALSE)</f>
        <v>9022</v>
      </c>
      <c r="N44" s="29">
        <f>VLOOKUP(A44,[1]CPS!A43:AG227,19,FALSE)</f>
        <v>44586</v>
      </c>
      <c r="O44" s="22" t="str">
        <f>VLOOKUP(A44,[1]CPS!A43:AU227,46,FALSE)</f>
        <v>ADMINISTRACION</v>
      </c>
      <c r="P44" s="30">
        <f>VLOOKUP(A44,[1]CPS!A43:AG227,13,FALSE)</f>
        <v>1412000</v>
      </c>
      <c r="Q44" s="31">
        <f>VLOOKUP(A44,[1]CPS!A43:AG227,12,FALSE)</f>
        <v>15532000</v>
      </c>
      <c r="R44" s="32"/>
      <c r="S44" s="22" t="s">
        <v>72</v>
      </c>
      <c r="T44" s="22" t="s">
        <v>73</v>
      </c>
      <c r="U44" s="33">
        <f>VLOOKUP(A44,[1]CPS!A43:AG227,5,FALSE)</f>
        <v>1123201138</v>
      </c>
      <c r="V44" s="34" t="s">
        <v>74</v>
      </c>
      <c r="W44" s="21" t="s">
        <v>75</v>
      </c>
      <c r="X44" s="35" t="s">
        <v>71</v>
      </c>
      <c r="Y44" s="22" t="str">
        <f t="shared" si="0"/>
        <v>ZOILA MARIA TAIMAL</v>
      </c>
      <c r="Z44" s="22" t="str">
        <f>VLOOKUP(A44,[1]CPS!A43:AU227,35,FALSE)</f>
        <v>6 NO CONSTITUYÓ GARANTÍAS</v>
      </c>
      <c r="AA44" s="25" t="str">
        <f>VLOOKUP(A44,[1]CPS!A43:AU227,37,FALSE)</f>
        <v>N/A</v>
      </c>
      <c r="AB44" s="55" t="s">
        <v>71</v>
      </c>
      <c r="AC44" s="56" t="str">
        <f>VLOOKUP(A44,[1]CPS!A43:AU227,38,FALSE)</f>
        <v>N/A</v>
      </c>
      <c r="AD44" s="55" t="str">
        <f>VLOOKUP(A44,[1]CPS!A43:AU227,39,FALSE)</f>
        <v>N/A</v>
      </c>
      <c r="AE44" s="22" t="str">
        <f>VLOOKUP(A44,[1]CPS!A43:AU227,36,FALSE)</f>
        <v>SF Plantas Medicinales Orito Ingi-Ande</v>
      </c>
      <c r="AF44" s="22" t="s">
        <v>77</v>
      </c>
      <c r="AG44" s="22" t="s">
        <v>73</v>
      </c>
      <c r="AH44" s="38">
        <f>VLOOKUP(A44,[1]CPS!A43:AU227,41,FALSE)</f>
        <v>71114184</v>
      </c>
      <c r="AI44" s="22" t="str">
        <f>VLOOKUP(A44,[1]CPS!A43:AU227,29,FALSE)</f>
        <v>WALKER EMELEC HOYOS GIRALDO</v>
      </c>
      <c r="AJ44" s="25">
        <f>VLOOKUP(A44,[1]CPS!A43:AH227,34,FALSE)</f>
        <v>330</v>
      </c>
      <c r="AK44" s="22"/>
      <c r="AL44" s="54" t="str">
        <f>VLOOKUP(A44,[1]CPS!A43:AU227,40,FALSE)</f>
        <v>N/A</v>
      </c>
      <c r="AM44" s="41">
        <f>VLOOKUP(A44,[1]CPS!A43:AU227,44,FALSE)</f>
        <v>44586</v>
      </c>
      <c r="AN44" s="22" t="s">
        <v>78</v>
      </c>
      <c r="AO44" s="22">
        <v>0</v>
      </c>
      <c r="AP44" s="42">
        <v>0</v>
      </c>
      <c r="AQ44" s="43"/>
      <c r="AR44" s="44">
        <v>0</v>
      </c>
      <c r="AS44" s="43"/>
      <c r="AT44" s="45">
        <f>VLOOKUP(A44,[1]CPS!A43:AU227,25,FALSE)</f>
        <v>44586</v>
      </c>
      <c r="AU44" s="45">
        <f>VLOOKUP(A44,[1]CPS!A43:AU227,26,FALSE)</f>
        <v>44919</v>
      </c>
      <c r="AV44" s="46"/>
      <c r="AW44" s="22" t="s">
        <v>79</v>
      </c>
      <c r="AX44" s="22"/>
      <c r="AY44" s="22"/>
      <c r="AZ44" s="22" t="s">
        <v>79</v>
      </c>
      <c r="BA44" s="22">
        <v>0</v>
      </c>
      <c r="BB44" s="22"/>
      <c r="BC44" s="22"/>
      <c r="BD44" s="22"/>
      <c r="BE44" s="47"/>
      <c r="BF44" s="59">
        <f t="shared" si="1"/>
        <v>15532000</v>
      </c>
      <c r="BG44" s="49" t="str">
        <f>VLOOKUP(A44,[1]CPS!A43:AU227,2,FALSE)</f>
        <v>ALEJANDRO DELGADO LOZANO</v>
      </c>
      <c r="BH44" s="50" t="str">
        <f>VLOOKUP(A44,[1]CPS!A43:AU227,42,FALSE)</f>
        <v>https://www.secop.gov.co/CO1ContractsManagement/Tendering/ProcurementContractEdit/View?docUniqueIdentifier=CO1.PCCNTR.3411732</v>
      </c>
      <c r="BI44" s="22" t="s">
        <v>80</v>
      </c>
      <c r="BJ44" s="22"/>
      <c r="BK44" s="51" t="str">
        <f>VLOOKUP(A44,[1]CPS!A43:AU227,33,FALSE)</f>
        <v>https://community.secop.gov.co/Public/Tendering/OpportunityDetail/Index?noticeUID=CO1.NTC.2685563&amp;isFromPublicArea=True&amp;isModal=False</v>
      </c>
      <c r="BL44" s="52"/>
      <c r="BM44" s="52"/>
      <c r="BN44" s="22"/>
      <c r="BO44" s="53" t="s">
        <v>81</v>
      </c>
      <c r="BP44" s="22"/>
      <c r="BQ44" s="22"/>
      <c r="BR44" s="22"/>
    </row>
    <row r="45" spans="1:70" ht="12.75" customHeight="1">
      <c r="A45" s="21">
        <v>44</v>
      </c>
      <c r="B45" s="22" t="s">
        <v>125</v>
      </c>
      <c r="C45" s="23" t="s">
        <v>68</v>
      </c>
      <c r="D45" s="24" t="str">
        <f>VLOOKUP(A45,[1]CPS!A44:AG228,3,FALSE)</f>
        <v>CD-DTAM NACION-CPS No. 044 - 2022</v>
      </c>
      <c r="E45" s="25">
        <v>44</v>
      </c>
      <c r="F45" s="22" t="str">
        <f>VLOOKUP(A45,[1]CPS!A44:AG228,4,FALSE)</f>
        <v>ANDERSON MARTINEZ RUALES</v>
      </c>
      <c r="G45" s="26">
        <f>VLOOKUP(A45,[1]CPS!A44:AU228,43,FALSE)</f>
        <v>44587</v>
      </c>
      <c r="H45" s="22" t="str">
        <f>VLOOKUP(A45,[1]CPS!A44:AG228,9,FALSE)</f>
        <v>Prestar apoyo como operario para la realización de actividades de Prevención, Vigilancia y Control del SF PMOIA, con énfasis en las veredas aledañas en la Zona con Función Amortiguadora del SF PMOIA.</v>
      </c>
      <c r="I45" s="27" t="s">
        <v>69</v>
      </c>
      <c r="J45" s="22" t="s">
        <v>70</v>
      </c>
      <c r="K45" s="25" t="s">
        <v>71</v>
      </c>
      <c r="L45" s="28">
        <f>VLOOKUP(A45,[1]CPS!A44:AG228,16,FALSE)</f>
        <v>12122</v>
      </c>
      <c r="M45" s="28">
        <f>VLOOKUP(A45,[1]CPS!A44:AG228,18,FALSE)</f>
        <v>11722</v>
      </c>
      <c r="N45" s="29">
        <f>VLOOKUP(A45,[1]CPS!A44:AG228,19,FALSE)</f>
        <v>44587</v>
      </c>
      <c r="O45" s="22" t="str">
        <f>VLOOKUP(A45,[1]CPS!A44:AU228,46,FALSE)</f>
        <v>ADMINISTRACION</v>
      </c>
      <c r="P45" s="30">
        <f>VLOOKUP(A45,[1]CPS!A44:AG228,13,FALSE)</f>
        <v>1412000</v>
      </c>
      <c r="Q45" s="31">
        <f>VLOOKUP(A45,[1]CPS!A44:AG228,12,FALSE)</f>
        <v>15532000</v>
      </c>
      <c r="R45" s="32"/>
      <c r="S45" s="22" t="s">
        <v>72</v>
      </c>
      <c r="T45" s="22" t="s">
        <v>73</v>
      </c>
      <c r="U45" s="33">
        <f>VLOOKUP(A45,[1]CPS!A44:AG228,5,FALSE)</f>
        <v>1123335541</v>
      </c>
      <c r="V45" s="34" t="s">
        <v>74</v>
      </c>
      <c r="W45" s="21" t="s">
        <v>75</v>
      </c>
      <c r="X45" s="35" t="s">
        <v>71</v>
      </c>
      <c r="Y45" s="22" t="str">
        <f t="shared" si="0"/>
        <v>ANDERSON MARTINEZ RUALES</v>
      </c>
      <c r="Z45" s="22" t="str">
        <f>VLOOKUP(A45,[1]CPS!A44:AU228,35,FALSE)</f>
        <v>6 NO CONSTITUYÓ GARANTÍAS</v>
      </c>
      <c r="AA45" s="25" t="str">
        <f>VLOOKUP(A45,[1]CPS!A44:AU228,37,FALSE)</f>
        <v>N/A</v>
      </c>
      <c r="AB45" s="55" t="s">
        <v>71</v>
      </c>
      <c r="AC45" s="56" t="str">
        <f>VLOOKUP(A45,[1]CPS!A44:AU228,38,FALSE)</f>
        <v>N/A</v>
      </c>
      <c r="AD45" s="55" t="str">
        <f>VLOOKUP(A45,[1]CPS!A44:AU228,39,FALSE)</f>
        <v>N/A</v>
      </c>
      <c r="AE45" s="22" t="str">
        <f>VLOOKUP(A45,[1]CPS!A44:AU228,36,FALSE)</f>
        <v>SF Plantas Medicinales Orito Ingi-Ande</v>
      </c>
      <c r="AF45" s="22" t="s">
        <v>77</v>
      </c>
      <c r="AG45" s="22" t="s">
        <v>73</v>
      </c>
      <c r="AH45" s="38">
        <f>VLOOKUP(A45,[1]CPS!A44:AU228,41,FALSE)</f>
        <v>71114184</v>
      </c>
      <c r="AI45" s="22" t="str">
        <f>VLOOKUP(A45,[1]CPS!A44:AU228,29,FALSE)</f>
        <v>WALKER EMELEC HOYOS GIRALDO</v>
      </c>
      <c r="AJ45" s="25">
        <f>VLOOKUP(A45,[1]CPS!A44:AH228,34,FALSE)</f>
        <v>330</v>
      </c>
      <c r="AK45" s="22"/>
      <c r="AL45" s="54" t="str">
        <f>VLOOKUP(A45,[1]CPS!A44:AU228,40,FALSE)</f>
        <v>N/A</v>
      </c>
      <c r="AM45" s="41">
        <f>VLOOKUP(A45,[1]CPS!A44:AU228,44,FALSE)</f>
        <v>44587</v>
      </c>
      <c r="AN45" s="22" t="s">
        <v>78</v>
      </c>
      <c r="AO45" s="22">
        <v>0</v>
      </c>
      <c r="AP45" s="42">
        <v>0</v>
      </c>
      <c r="AQ45" s="43"/>
      <c r="AR45" s="44">
        <v>0</v>
      </c>
      <c r="AS45" s="43"/>
      <c r="AT45" s="45">
        <f>VLOOKUP(A45,[1]CPS!A44:AU228,25,FALSE)</f>
        <v>44587</v>
      </c>
      <c r="AU45" s="45">
        <f>VLOOKUP(A45,[1]CPS!A44:AU228,26,FALSE)</f>
        <v>44920</v>
      </c>
      <c r="AV45" s="46"/>
      <c r="AW45" s="22" t="s">
        <v>79</v>
      </c>
      <c r="AX45" s="22"/>
      <c r="AY45" s="22"/>
      <c r="AZ45" s="22" t="s">
        <v>79</v>
      </c>
      <c r="BA45" s="22">
        <v>0</v>
      </c>
      <c r="BB45" s="22"/>
      <c r="BC45" s="22"/>
      <c r="BD45" s="22"/>
      <c r="BE45" s="47"/>
      <c r="BF45" s="59">
        <f t="shared" si="1"/>
        <v>15532000</v>
      </c>
      <c r="BG45" s="49" t="str">
        <f>VLOOKUP(A45,[1]CPS!A44:AU228,2,FALSE)</f>
        <v>ALEJANDRO DELGADO LOZANO</v>
      </c>
      <c r="BH45" s="50" t="str">
        <f>VLOOKUP(A45,[1]CPS!A44:AU228,42,FALSE)</f>
        <v>https://www.secop.gov.co/CO1ContractsManagement/Tendering/ProcurementContractEdit/View?docUniqueIdentifier=CO1.PCCNTR.3441931</v>
      </c>
      <c r="BI45" s="22" t="s">
        <v>80</v>
      </c>
      <c r="BJ45" s="22"/>
      <c r="BK45" s="51" t="str">
        <f>VLOOKUP(A45,[1]CPS!A44:AU228,33,FALSE)</f>
        <v>https://community.secop.gov.co/Public/Tendering/OpportunityDetail/Index?noticeUID=CO1.NTC.2685667&amp;isFromPublicArea=True&amp;isModal=False</v>
      </c>
      <c r="BL45" s="52"/>
      <c r="BM45" s="52"/>
      <c r="BN45" s="22"/>
      <c r="BO45" s="53" t="s">
        <v>81</v>
      </c>
      <c r="BP45" s="22"/>
      <c r="BQ45" s="22"/>
      <c r="BR45" s="22"/>
    </row>
    <row r="46" spans="1:70" ht="12.75" customHeight="1">
      <c r="A46" s="21">
        <v>45</v>
      </c>
      <c r="B46" s="22" t="s">
        <v>126</v>
      </c>
      <c r="C46" s="23" t="s">
        <v>68</v>
      </c>
      <c r="D46" s="24" t="str">
        <f>VLOOKUP(A46,[1]CPS!A45:AG229,3,FALSE)</f>
        <v>CD-DTAM NACION-CPS No. 045 - 2022</v>
      </c>
      <c r="E46" s="25">
        <v>45</v>
      </c>
      <c r="F46" s="22" t="str">
        <f>VLOOKUP(A46,[1]CPS!A45:AG229,4,FALSE)</f>
        <v>DANIEL FELIPE GOMEZ RAMOS</v>
      </c>
      <c r="G46" s="26">
        <f>VLOOKUP(A46,[1]CPS!A45:AU229,43,FALSE)</f>
        <v>44582</v>
      </c>
      <c r="H46" s="22" t="str">
        <f>VLOOKUP(A46,[1]CPS!A45:AG229,9,FALSE)</f>
        <v>Prestar servicios profesionales en los procesos de ordenamiento, reservas naturales de la sociedad civil y sistemas sostenibles para la conservación del Parque Nacional Natural Alto Fragua Indi Wasi durante la vigencia 2022</v>
      </c>
      <c r="I46" s="27" t="s">
        <v>69</v>
      </c>
      <c r="J46" s="22" t="s">
        <v>70</v>
      </c>
      <c r="K46" s="25" t="s">
        <v>71</v>
      </c>
      <c r="L46" s="28">
        <f>VLOOKUP(A46,[1]CPS!A45:AG229,16,FALSE)</f>
        <v>7922</v>
      </c>
      <c r="M46" s="28">
        <f>VLOOKUP(A46,[1]CPS!A45:AG229,18,FALSE)</f>
        <v>4822</v>
      </c>
      <c r="N46" s="29">
        <f>VLOOKUP(A46,[1]CPS!A45:AG229,19,FALSE)</f>
        <v>44582</v>
      </c>
      <c r="O46" s="22" t="str">
        <f>VLOOKUP(A46,[1]CPS!A45:AU229,46,FALSE)</f>
        <v>ADMINISTRACION</v>
      </c>
      <c r="P46" s="30">
        <f>VLOOKUP(A46,[1]CPS!A45:AG229,13,FALSE)</f>
        <v>3333000</v>
      </c>
      <c r="Q46" s="31">
        <f>VLOOKUP(A46,[1]CPS!A45:AG229,12,FALSE)</f>
        <v>36551900</v>
      </c>
      <c r="R46" s="32"/>
      <c r="S46" s="22" t="s">
        <v>72</v>
      </c>
      <c r="T46" s="22" t="s">
        <v>73</v>
      </c>
      <c r="U46" s="33">
        <f>VLOOKUP(A46,[1]CPS!A45:AG229,5,FALSE)</f>
        <v>1118473558</v>
      </c>
      <c r="V46" s="34" t="s">
        <v>74</v>
      </c>
      <c r="W46" s="21" t="s">
        <v>75</v>
      </c>
      <c r="X46" s="35" t="s">
        <v>71</v>
      </c>
      <c r="Y46" s="22" t="str">
        <f t="shared" si="0"/>
        <v>DANIEL FELIPE GOMEZ RAMOS</v>
      </c>
      <c r="Z46" s="22" t="str">
        <f>VLOOKUP(A46,[1]CPS!A45:AU229,35,FALSE)</f>
        <v>6 NO CONSTITUYÓ GARANTÍAS</v>
      </c>
      <c r="AA46" s="25" t="str">
        <f>VLOOKUP(A46,[1]CPS!A45:AU229,37,FALSE)</f>
        <v>N/A</v>
      </c>
      <c r="AB46" s="55" t="s">
        <v>71</v>
      </c>
      <c r="AC46" s="56" t="str">
        <f>VLOOKUP(A46,[1]CPS!A45:AU229,38,FALSE)</f>
        <v>N/A</v>
      </c>
      <c r="AD46" s="55" t="str">
        <f>VLOOKUP(A46,[1]CPS!A45:AU229,39,FALSE)</f>
        <v>N/A</v>
      </c>
      <c r="AE46" s="22" t="str">
        <f>VLOOKUP(A46,[1]CPS!A45:AU229,36,FALSE)</f>
        <v>PNN Alto Fragua Indi Wasi</v>
      </c>
      <c r="AF46" s="22" t="s">
        <v>77</v>
      </c>
      <c r="AG46" s="22" t="s">
        <v>73</v>
      </c>
      <c r="AH46" s="38">
        <f>VLOOKUP(A46,[1]CPS!A45:AU229,41,FALSE)</f>
        <v>28557787</v>
      </c>
      <c r="AI46" s="22" t="str">
        <f>VLOOKUP(A46,[1]CPS!A45:AU229,29,FALSE)</f>
        <v>ANGELICA CARVAJAL RUEDA</v>
      </c>
      <c r="AJ46" s="25">
        <f>VLOOKUP(A46,[1]CPS!A45:AH229,34,FALSE)</f>
        <v>329</v>
      </c>
      <c r="AK46" s="22"/>
      <c r="AL46" s="54" t="str">
        <f>VLOOKUP(A46,[1]CPS!A45:AU229,40,FALSE)</f>
        <v>N/A</v>
      </c>
      <c r="AM46" s="41">
        <f>VLOOKUP(A46,[1]CPS!A45:AU229,44,FALSE)</f>
        <v>44582</v>
      </c>
      <c r="AN46" s="22" t="s">
        <v>78</v>
      </c>
      <c r="AO46" s="22">
        <v>0</v>
      </c>
      <c r="AP46" s="42">
        <v>0</v>
      </c>
      <c r="AQ46" s="43"/>
      <c r="AR46" s="44">
        <v>0</v>
      </c>
      <c r="AS46" s="43"/>
      <c r="AT46" s="45">
        <f>VLOOKUP(A46,[1]CPS!A45:AU229,25,FALSE)</f>
        <v>44582</v>
      </c>
      <c r="AU46" s="45">
        <f>VLOOKUP(A46,[1]CPS!A45:AU229,26,FALSE)</f>
        <v>44914</v>
      </c>
      <c r="AV46" s="46"/>
      <c r="AW46" s="22" t="s">
        <v>79</v>
      </c>
      <c r="AX46" s="22"/>
      <c r="AY46" s="22"/>
      <c r="AZ46" s="22" t="s">
        <v>79</v>
      </c>
      <c r="BA46" s="22">
        <v>0</v>
      </c>
      <c r="BB46" s="22"/>
      <c r="BC46" s="22"/>
      <c r="BD46" s="22"/>
      <c r="BE46" s="47"/>
      <c r="BF46" s="59">
        <f t="shared" si="1"/>
        <v>36551900</v>
      </c>
      <c r="BG46" s="49" t="str">
        <f>VLOOKUP(A46,[1]CPS!A45:AU229,2,FALSE)</f>
        <v>NORYLY AGUIRRE OTALORA</v>
      </c>
      <c r="BH46" s="22" t="str">
        <f>VLOOKUP(A46,[1]CPS!A45:AU229,42,FALSE)</f>
        <v>https://www.secop.gov.co/CO1ContractsManagement/Tendering/ProcurementContractEdit/View?docUniqueIdentifier=CO1.PCCNTR.3335974</v>
      </c>
      <c r="BI46" s="22" t="s">
        <v>80</v>
      </c>
      <c r="BJ46" s="22"/>
      <c r="BK46" s="51" t="str">
        <f>VLOOKUP(A46,[1]CPS!A45:AU229,33,FALSE)</f>
        <v>https://community.secop.gov.co/Public/Tendering/ContractNoticePhases/View?PPI=CO1.PPI.16937265&amp;isFromPublicArea=True&amp;isModal=False</v>
      </c>
      <c r="BL46" s="52"/>
      <c r="BM46" s="52"/>
      <c r="BN46" s="22"/>
      <c r="BO46" s="53" t="s">
        <v>81</v>
      </c>
      <c r="BP46" s="22"/>
      <c r="BQ46" s="22"/>
      <c r="BR46" s="22"/>
    </row>
    <row r="47" spans="1:70" ht="12.75" customHeight="1">
      <c r="A47" s="21">
        <v>46</v>
      </c>
      <c r="B47" s="22" t="s">
        <v>127</v>
      </c>
      <c r="C47" s="23" t="s">
        <v>68</v>
      </c>
      <c r="D47" s="24" t="str">
        <f>VLOOKUP(A47,[1]CPS!A46:AG230,3,FALSE)</f>
        <v>CD-DTAM NACION-CPS No. 046 - 2022</v>
      </c>
      <c r="E47" s="25">
        <v>46</v>
      </c>
      <c r="F47" s="22" t="str">
        <f>VLOOKUP(A47,[1]CPS!A46:AG230,4,FALSE)</f>
        <v>RAMIRO TORRES MANCHOLA</v>
      </c>
      <c r="G47" s="26">
        <f>VLOOKUP(A47,[1]CPS!A46:AU230,43,FALSE)</f>
        <v>44582</v>
      </c>
      <c r="H47" s="22" t="str">
        <f>VLOOKUP(A47,[1]CPS!A46:AG230,9,FALSE)</f>
        <v>Prestar servicios profesionales para implementar y hacer seguimiento a las medidas transitorias para la atención de la población campesina relacionada con el Parque Nacional Natural Alto Fragua Indi Wasi.</v>
      </c>
      <c r="I47" s="27" t="s">
        <v>69</v>
      </c>
      <c r="J47" s="22" t="s">
        <v>70</v>
      </c>
      <c r="K47" s="25" t="s">
        <v>71</v>
      </c>
      <c r="L47" s="28">
        <f>VLOOKUP(A47,[1]CPS!A46:AG230,16,FALSE)</f>
        <v>9222</v>
      </c>
      <c r="M47" s="28">
        <f>VLOOKUP(A47,[1]CPS!A46:AG230,18,FALSE)</f>
        <v>4922</v>
      </c>
      <c r="N47" s="29">
        <f>VLOOKUP(A47,[1]CPS!A46:AG230,19,FALSE)</f>
        <v>44582</v>
      </c>
      <c r="O47" s="22" t="str">
        <f>VLOOKUP(A47,[1]CPS!A46:AU230,46,FALSE)</f>
        <v>ADMINISTRACION</v>
      </c>
      <c r="P47" s="30">
        <f>VLOOKUP(A47,[1]CPS!A46:AG230,13,FALSE)</f>
        <v>4860000</v>
      </c>
      <c r="Q47" s="31">
        <f>VLOOKUP(A47,[1]CPS!A46:AG230,12,FALSE)</f>
        <v>51324000</v>
      </c>
      <c r="R47" s="32"/>
      <c r="S47" s="22" t="s">
        <v>72</v>
      </c>
      <c r="T47" s="22" t="s">
        <v>73</v>
      </c>
      <c r="U47" s="33">
        <f>VLOOKUP(A47,[1]CPS!A46:AG230,5,FALSE)</f>
        <v>17616147</v>
      </c>
      <c r="V47" s="34" t="s">
        <v>74</v>
      </c>
      <c r="W47" s="21" t="s">
        <v>75</v>
      </c>
      <c r="X47" s="35" t="s">
        <v>71</v>
      </c>
      <c r="Y47" s="22" t="str">
        <f t="shared" si="0"/>
        <v>RAMIRO TORRES MANCHOLA</v>
      </c>
      <c r="Z47" s="22" t="str">
        <f>VLOOKUP(A47,[1]CPS!A46:AU230,35,FALSE)</f>
        <v>1 PÓLIZA</v>
      </c>
      <c r="AA47" s="25" t="str">
        <f>VLOOKUP(A47,[1]CPS!A46:AU230,37,FALSE)</f>
        <v>12 SEGUROS DEL ESTADO</v>
      </c>
      <c r="AB47" s="36" t="s">
        <v>76</v>
      </c>
      <c r="AC47" s="26">
        <f>VLOOKUP(A47,[1]CPS!A46:AU230,38,FALSE)</f>
        <v>44582</v>
      </c>
      <c r="AD47" s="25" t="str">
        <f>VLOOKUP(A47,[1]CPS!A46:AU230,39,FALSE)</f>
        <v>14-44-101145723</v>
      </c>
      <c r="AE47" s="22" t="str">
        <f>VLOOKUP(A47,[1]CPS!A46:AU230,36,FALSE)</f>
        <v>PNN Alto Fragua Indi Wasi</v>
      </c>
      <c r="AF47" s="22" t="s">
        <v>77</v>
      </c>
      <c r="AG47" s="22" t="s">
        <v>73</v>
      </c>
      <c r="AH47" s="38">
        <f>VLOOKUP(A47,[1]CPS!A46:AU230,41,FALSE)</f>
        <v>28557787</v>
      </c>
      <c r="AI47" s="22" t="str">
        <f>VLOOKUP(A47,[1]CPS!A46:AU230,29,FALSE)</f>
        <v>ANGELICA CARVAJAL RUEDA</v>
      </c>
      <c r="AJ47" s="25">
        <f>VLOOKUP(A47,[1]CPS!A46:AH230,34,FALSE)</f>
        <v>329</v>
      </c>
      <c r="AK47" s="22"/>
      <c r="AL47" s="54">
        <f>VLOOKUP(A47,[1]CPS!A46:AU230,40,FALSE)</f>
        <v>44582</v>
      </c>
      <c r="AM47" s="41">
        <f>VLOOKUP(A47,[1]CPS!A46:AU230,44,FALSE)</f>
        <v>44582</v>
      </c>
      <c r="AN47" s="22" t="s">
        <v>78</v>
      </c>
      <c r="AO47" s="22">
        <v>0</v>
      </c>
      <c r="AP47" s="42">
        <v>0</v>
      </c>
      <c r="AQ47" s="43"/>
      <c r="AR47" s="44">
        <v>0</v>
      </c>
      <c r="AS47" s="43"/>
      <c r="AT47" s="45">
        <f>VLOOKUP(A47,[1]CPS!A46:AU230,25,FALSE)</f>
        <v>44582</v>
      </c>
      <c r="AU47" s="45">
        <f>VLOOKUP(A47,[1]CPS!A46:AU230,26,FALSE)</f>
        <v>44914</v>
      </c>
      <c r="AV47" s="46"/>
      <c r="AW47" s="22" t="s">
        <v>79</v>
      </c>
      <c r="AX47" s="22"/>
      <c r="AY47" s="22"/>
      <c r="AZ47" s="22" t="s">
        <v>79</v>
      </c>
      <c r="BA47" s="22">
        <v>0</v>
      </c>
      <c r="BB47" s="22"/>
      <c r="BC47" s="22"/>
      <c r="BD47" s="22"/>
      <c r="BE47" s="47"/>
      <c r="BF47" s="59">
        <f t="shared" si="1"/>
        <v>51324000</v>
      </c>
      <c r="BG47" s="49" t="str">
        <f>VLOOKUP(A47,[1]CPS!A46:AU230,2,FALSE)</f>
        <v>NORYLY AGUIRRE OTALORA</v>
      </c>
      <c r="BH47" s="22" t="str">
        <f>VLOOKUP(A47,[1]CPS!A46:AU230,42,FALSE)</f>
        <v>https://www.secop.gov.co/CO1ContractsManagement/Tendering/ProcurementContractEdit/View?docUniqueIdentifier=CO1.PCCNTR.3336949</v>
      </c>
      <c r="BI47" s="22" t="s">
        <v>80</v>
      </c>
      <c r="BJ47" s="22"/>
      <c r="BK47" s="51" t="str">
        <f>VLOOKUP(A47,[1]CPS!A46:AU230,33,FALSE)</f>
        <v>https://community.secop.gov.co/Public/Tendering/ContractNoticePhases/View?PPI=CO1.PPI.16941651&amp;isFromPublicArea=True&amp;isModal=False</v>
      </c>
      <c r="BL47" s="52"/>
      <c r="BM47" s="52"/>
      <c r="BN47" s="22"/>
      <c r="BO47" s="53" t="s">
        <v>81</v>
      </c>
      <c r="BP47" s="22"/>
      <c r="BQ47" s="22"/>
      <c r="BR47" s="22"/>
    </row>
    <row r="48" spans="1:70" ht="12.75" customHeight="1">
      <c r="A48" s="21">
        <v>47</v>
      </c>
      <c r="B48" s="22" t="s">
        <v>128</v>
      </c>
      <c r="C48" s="23" t="s">
        <v>68</v>
      </c>
      <c r="D48" s="24" t="str">
        <f>VLOOKUP(A48,[1]CPS!A47:AG231,3,FALSE)</f>
        <v>CD-DTAM NACION-CPS No. 047 - 2022</v>
      </c>
      <c r="E48" s="25">
        <v>47</v>
      </c>
      <c r="F48" s="22" t="str">
        <f>VLOOKUP(A48,[1]CPS!A47:AG231,4,FALSE)</f>
        <v>ROBINSON GARCIA ROJAS</v>
      </c>
      <c r="G48" s="26">
        <f>VLOOKUP(A48,[1]CPS!A47:AU231,43,FALSE)</f>
        <v>44582</v>
      </c>
      <c r="H48" s="22" t="str">
        <f>VLOOKUP(A48,[1]CPS!A47:AG231,9,FALSE)</f>
        <v>Prestar servicios profesionales para implementar el protocolo de prevención, vigilancia y control del Parque Nacional Natural Alto Fragua Indi Wasi durante la vigencia 2022</v>
      </c>
      <c r="I48" s="27" t="s">
        <v>69</v>
      </c>
      <c r="J48" s="22" t="s">
        <v>70</v>
      </c>
      <c r="K48" s="25" t="s">
        <v>71</v>
      </c>
      <c r="L48" s="28">
        <f>VLOOKUP(A48,[1]CPS!A47:AG231,16,FALSE)</f>
        <v>8022</v>
      </c>
      <c r="M48" s="28">
        <f>VLOOKUP(A48,[1]CPS!A47:AG231,18,FALSE)</f>
        <v>5522</v>
      </c>
      <c r="N48" s="29">
        <f>VLOOKUP(A48,[1]CPS!A47:AG231,19,FALSE)</f>
        <v>44582</v>
      </c>
      <c r="O48" s="22" t="str">
        <f>VLOOKUP(A48,[1]CPS!A47:AU231,46,FALSE)</f>
        <v>ADMINISTRACION</v>
      </c>
      <c r="P48" s="30">
        <f>VLOOKUP(A48,[1]CPS!A47:AG231,13,FALSE)</f>
        <v>4680000</v>
      </c>
      <c r="Q48" s="31">
        <f>VLOOKUP(A48,[1]CPS!A47:AG231,12,FALSE)</f>
        <v>51324000</v>
      </c>
      <c r="R48" s="32"/>
      <c r="S48" s="22" t="s">
        <v>72</v>
      </c>
      <c r="T48" s="22" t="s">
        <v>73</v>
      </c>
      <c r="U48" s="33">
        <f>VLOOKUP(A48,[1]CPS!A47:AG231,5,FALSE)</f>
        <v>17616115</v>
      </c>
      <c r="V48" s="34" t="s">
        <v>74</v>
      </c>
      <c r="W48" s="21" t="s">
        <v>75</v>
      </c>
      <c r="X48" s="35" t="s">
        <v>71</v>
      </c>
      <c r="Y48" s="22" t="str">
        <f t="shared" si="0"/>
        <v>ROBINSON GARCIA ROJAS</v>
      </c>
      <c r="Z48" s="22" t="str">
        <f>VLOOKUP(A48,[1]CPS!A47:AU231,35,FALSE)</f>
        <v>1 PÓLIZA</v>
      </c>
      <c r="AA48" s="25" t="str">
        <f>VLOOKUP(A48,[1]CPS!A47:AU231,37,FALSE)</f>
        <v>12 SEGUROS DEL ESTADO</v>
      </c>
      <c r="AB48" s="36" t="s">
        <v>76</v>
      </c>
      <c r="AC48" s="26">
        <f>VLOOKUP(A48,[1]CPS!A47:AU231,38,FALSE)</f>
        <v>44582</v>
      </c>
      <c r="AD48" s="25" t="str">
        <f>VLOOKUP(A48,[1]CPS!A47:AU231,39,FALSE)</f>
        <v>14-44-101145761</v>
      </c>
      <c r="AE48" s="22" t="str">
        <f>VLOOKUP(A48,[1]CPS!A47:AU231,36,FALSE)</f>
        <v>PNN Alto Fragua Indi Wasi</v>
      </c>
      <c r="AF48" s="22" t="s">
        <v>77</v>
      </c>
      <c r="AG48" s="22" t="s">
        <v>73</v>
      </c>
      <c r="AH48" s="38">
        <f>VLOOKUP(A48,[1]CPS!A47:AU231,41,FALSE)</f>
        <v>28557787</v>
      </c>
      <c r="AI48" s="22" t="str">
        <f>VLOOKUP(A48,[1]CPS!A47:AU231,29,FALSE)</f>
        <v>ANGELICA CARVAJAL RUEDA</v>
      </c>
      <c r="AJ48" s="25">
        <f>VLOOKUP(A48,[1]CPS!A47:AH231,34,FALSE)</f>
        <v>329</v>
      </c>
      <c r="AK48" s="22"/>
      <c r="AL48" s="54">
        <f>VLOOKUP(A48,[1]CPS!A47:AU231,40,FALSE)</f>
        <v>44582</v>
      </c>
      <c r="AM48" s="41">
        <f>VLOOKUP(A48,[1]CPS!A47:AU231,44,FALSE)</f>
        <v>44582</v>
      </c>
      <c r="AN48" s="22" t="s">
        <v>78</v>
      </c>
      <c r="AO48" s="22">
        <v>0</v>
      </c>
      <c r="AP48" s="42">
        <v>0</v>
      </c>
      <c r="AQ48" s="43"/>
      <c r="AR48" s="44">
        <v>0</v>
      </c>
      <c r="AS48" s="43"/>
      <c r="AT48" s="45">
        <f>VLOOKUP(A48,[1]CPS!A47:AU231,25,FALSE)</f>
        <v>44582</v>
      </c>
      <c r="AU48" s="45">
        <f>VLOOKUP(A48,[1]CPS!A47:AU231,26,FALSE)</f>
        <v>44914</v>
      </c>
      <c r="AV48" s="46"/>
      <c r="AW48" s="22" t="s">
        <v>79</v>
      </c>
      <c r="AX48" s="22"/>
      <c r="AY48" s="22"/>
      <c r="AZ48" s="22" t="s">
        <v>79</v>
      </c>
      <c r="BA48" s="22">
        <v>0</v>
      </c>
      <c r="BB48" s="22"/>
      <c r="BC48" s="22"/>
      <c r="BD48" s="22"/>
      <c r="BE48" s="47"/>
      <c r="BF48" s="59">
        <f t="shared" si="1"/>
        <v>51324000</v>
      </c>
      <c r="BG48" s="49" t="str">
        <f>VLOOKUP(A48,[1]CPS!A47:AU231,2,FALSE)</f>
        <v>NORYLY AGUIRRE OTALORA</v>
      </c>
      <c r="BH48" s="50" t="str">
        <f>VLOOKUP(A48,[1]CPS!A47:AU231,42,FALSE)</f>
        <v>https://www.secop.gov.co/CO1ContractsManagement/Tendering/ProcurementContractEdit/View?docUniqueIdentifier=CO1.PCCNTR.3338330</v>
      </c>
      <c r="BI48" s="22" t="s">
        <v>80</v>
      </c>
      <c r="BJ48" s="22"/>
      <c r="BK48" s="51" t="str">
        <f>VLOOKUP(A48,[1]CPS!A47:AU231,33,FALSE)</f>
        <v>https://community.secop.gov.co/Public/Tendering/ContractNoticePhases/View?PPI=CO1.PPI.16944674&amp;isFromPublicArea=True&amp;isModal=False</v>
      </c>
      <c r="BL48" s="52"/>
      <c r="BM48" s="52"/>
      <c r="BN48" s="22"/>
      <c r="BO48" s="53" t="s">
        <v>81</v>
      </c>
      <c r="BP48" s="22"/>
      <c r="BQ48" s="22"/>
      <c r="BR48" s="22"/>
    </row>
    <row r="49" spans="1:70" ht="12.75" customHeight="1">
      <c r="A49" s="21">
        <v>48</v>
      </c>
      <c r="B49" s="22" t="s">
        <v>129</v>
      </c>
      <c r="C49" s="23" t="s">
        <v>68</v>
      </c>
      <c r="D49" s="24" t="str">
        <f>VLOOKUP(A49,[1]CPS!A48:AG232,3,FALSE)</f>
        <v>CD-DTAM NACION-CPS No. 048 - 2022</v>
      </c>
      <c r="E49" s="25">
        <v>48</v>
      </c>
      <c r="F49" s="22" t="str">
        <f>VLOOKUP(A49,[1]CPS!A48:AG232,4,FALSE)</f>
        <v>ABNER JARMINTON ORTIZ CANAMEJOY</v>
      </c>
      <c r="G49" s="26">
        <f>VLOOKUP(A49,[1]CPS!A48:AU232,43,FALSE)</f>
        <v>44583</v>
      </c>
      <c r="H49" s="22" t="str">
        <f>VLOOKUP(A49,[1]CPS!A48:AG232,9,FALSE)</f>
        <v>Prestar servicios Profesionales y de apoyo a la gestión operativa y comunitaria de los procesos Estrategias Especiales de Manejo y de planeación del manejo con comunidades indígenas y campesinas del Parque Nacional Natural Serranía de los Churumbelos Auka Wasi en los Municipios con injerencia en el Parque</v>
      </c>
      <c r="I49" s="27" t="s">
        <v>69</v>
      </c>
      <c r="J49" s="22" t="s">
        <v>70</v>
      </c>
      <c r="K49" s="25" t="s">
        <v>71</v>
      </c>
      <c r="L49" s="28">
        <f>VLOOKUP(A49,[1]CPS!A48:AG232,16,FALSE)</f>
        <v>9922</v>
      </c>
      <c r="M49" s="28">
        <f>VLOOKUP(A49,[1]CPS!A48:AG232,18,FALSE)</f>
        <v>7322</v>
      </c>
      <c r="N49" s="29">
        <f>VLOOKUP(A49,[1]CPS!A48:AG232,19,FALSE)</f>
        <v>44585</v>
      </c>
      <c r="O49" s="22" t="str">
        <f>VLOOKUP(A49,[1]CPS!A48:AU232,46,FALSE)</f>
        <v>ADMINISTRACION</v>
      </c>
      <c r="P49" s="30">
        <f>VLOOKUP(A49,[1]CPS!A48:AG232,13,FALSE)</f>
        <v>4100000</v>
      </c>
      <c r="Q49" s="31">
        <f>VLOOKUP(A49,[1]CPS!A48:AG232,12,FALSE)</f>
        <v>44690000</v>
      </c>
      <c r="R49" s="32"/>
      <c r="S49" s="22" t="s">
        <v>72</v>
      </c>
      <c r="T49" s="22" t="s">
        <v>73</v>
      </c>
      <c r="U49" s="33">
        <f>VLOOKUP(A49,[1]CPS!A48:AG232,5,FALSE)</f>
        <v>1135014116</v>
      </c>
      <c r="V49" s="34" t="s">
        <v>74</v>
      </c>
      <c r="W49" s="21" t="s">
        <v>75</v>
      </c>
      <c r="X49" s="35" t="s">
        <v>71</v>
      </c>
      <c r="Y49" s="22" t="str">
        <f t="shared" si="0"/>
        <v>ABNER JARMINTON ORTIZ CANAMEJOY</v>
      </c>
      <c r="Z49" s="22" t="str">
        <f>VLOOKUP(A49,[1]CPS!A48:AU232,35,FALSE)</f>
        <v>6 NO CONSTITUYÓ GARANTÍAS</v>
      </c>
      <c r="AA49" s="25" t="str">
        <f>VLOOKUP(A49,[1]CPS!A48:AU232,37,FALSE)</f>
        <v>N/A</v>
      </c>
      <c r="AB49" s="55" t="s">
        <v>71</v>
      </c>
      <c r="AC49" s="56" t="str">
        <f>VLOOKUP(A49,[1]CPS!A48:AU232,38,FALSE)</f>
        <v>N/A</v>
      </c>
      <c r="AD49" s="55" t="str">
        <f>VLOOKUP(A49,[1]CPS!A48:AU232,39,FALSE)</f>
        <v>N/A</v>
      </c>
      <c r="AE49" s="22" t="str">
        <f>VLOOKUP(A49,[1]CPS!A48:AU232,36,FALSE)</f>
        <v>PNN Serranía de Los Churumbelos</v>
      </c>
      <c r="AF49" s="22" t="s">
        <v>77</v>
      </c>
      <c r="AG49" s="22" t="s">
        <v>73</v>
      </c>
      <c r="AH49" s="38">
        <f>VLOOKUP(A49,[1]CPS!A48:AU232,41,FALSE)</f>
        <v>19481189</v>
      </c>
      <c r="AI49" s="22" t="str">
        <f>VLOOKUP(A49,[1]CPS!A48:AU232,29,FALSE)</f>
        <v>FLABIO ARMANDO HERRERA CAICEDO</v>
      </c>
      <c r="AJ49" s="25">
        <f>VLOOKUP(A49,[1]CPS!A48:AH232,34,FALSE)</f>
        <v>327</v>
      </c>
      <c r="AK49" s="22"/>
      <c r="AL49" s="54" t="str">
        <f>VLOOKUP(A49,[1]CPS!A48:AU232,40,FALSE)</f>
        <v>N/A</v>
      </c>
      <c r="AM49" s="41">
        <f>VLOOKUP(A49,[1]CPS!A48:AU232,44,FALSE)</f>
        <v>44586</v>
      </c>
      <c r="AN49" s="22" t="s">
        <v>78</v>
      </c>
      <c r="AO49" s="22">
        <v>0</v>
      </c>
      <c r="AP49" s="42">
        <v>0</v>
      </c>
      <c r="AQ49" s="43"/>
      <c r="AR49" s="44">
        <v>0</v>
      </c>
      <c r="AS49" s="43"/>
      <c r="AT49" s="45">
        <f>VLOOKUP(A49,[1]CPS!A48:AU232,25,FALSE)</f>
        <v>44585</v>
      </c>
      <c r="AU49" s="45">
        <f>VLOOKUP(A49,[1]CPS!A48:AU232,26,FALSE)</f>
        <v>44915</v>
      </c>
      <c r="AV49" s="46"/>
      <c r="AW49" s="22" t="s">
        <v>79</v>
      </c>
      <c r="AX49" s="22"/>
      <c r="AY49" s="22"/>
      <c r="AZ49" s="22" t="s">
        <v>79</v>
      </c>
      <c r="BA49" s="22">
        <v>0</v>
      </c>
      <c r="BB49" s="22"/>
      <c r="BC49" s="22"/>
      <c r="BD49" s="22"/>
      <c r="BE49" s="47"/>
      <c r="BF49" s="59">
        <f t="shared" si="1"/>
        <v>44690000</v>
      </c>
      <c r="BG49" s="49" t="str">
        <f>VLOOKUP(A49,[1]CPS!A48:AU232,2,FALSE)</f>
        <v>NORYLY AGUIRRE OTALORA</v>
      </c>
      <c r="BH49" s="22" t="str">
        <f>VLOOKUP(A49,[1]CPS!A48:AU232,42,FALSE)</f>
        <v>https://www.secop.gov.co/CO1ContractsManagement/Tendering/ProcurementContractEdit/View?docUniqueIdentifier=CO1.PCCNTR.3370959</v>
      </c>
      <c r="BI49" s="22" t="s">
        <v>80</v>
      </c>
      <c r="BJ49" s="22"/>
      <c r="BK49" s="51" t="str">
        <f>VLOOKUP(A49,[1]CPS!A48:AU232,33,FALSE)</f>
        <v>https://community.secop.gov.co/Public/Tendering/ContractNoticePhases/View?PPI=CO1.PPI.16952592&amp;isFromPublicArea=True&amp;isModal=False</v>
      </c>
      <c r="BL49" s="52"/>
      <c r="BM49" s="52"/>
      <c r="BN49" s="22"/>
      <c r="BO49" s="53" t="s">
        <v>81</v>
      </c>
      <c r="BP49" s="22"/>
      <c r="BQ49" s="22"/>
      <c r="BR49" s="22"/>
    </row>
    <row r="50" spans="1:70" ht="12.75" customHeight="1">
      <c r="A50" s="21">
        <v>49</v>
      </c>
      <c r="B50" s="22" t="s">
        <v>130</v>
      </c>
      <c r="C50" s="23" t="s">
        <v>68</v>
      </c>
      <c r="D50" s="24" t="str">
        <f>VLOOKUP(A50,[1]CPS!A49:AG233,3,FALSE)</f>
        <v>CD-DTAM NACION-CPS No. 049 - 2022</v>
      </c>
      <c r="E50" s="25">
        <v>49</v>
      </c>
      <c r="F50" s="22" t="str">
        <f>VLOOKUP(A50,[1]CPS!A49:AG233,4,FALSE)</f>
        <v>WILFREDO JAVIER SANCHEZ GREGORIO</v>
      </c>
      <c r="G50" s="26">
        <f>VLOOKUP(A50,[1]CPS!A49:AU233,43,FALSE)</f>
        <v>44585</v>
      </c>
      <c r="H50" s="22" t="str">
        <f>VLOOKUP(A50,[1]CPS!A49:AG233,9,FALSE)</f>
        <v>Prestar los servicios asistenciales y de apoyo a la gestión en actividades de monitoreo para una mejor regulación del uso con énfasis en las actividades de fortalecimiento a la gobernanza ambiental en el Parque Nacional Natural Amacayacu</v>
      </c>
      <c r="I50" s="27" t="s">
        <v>69</v>
      </c>
      <c r="J50" s="22" t="s">
        <v>70</v>
      </c>
      <c r="K50" s="25" t="s">
        <v>71</v>
      </c>
      <c r="L50" s="28">
        <f>VLOOKUP(A50,[1]CPS!A49:AG233,16,FALSE)</f>
        <v>5022</v>
      </c>
      <c r="M50" s="28">
        <f>VLOOKUP(A50,[1]CPS!A49:AG233,18,FALSE)</f>
        <v>8422</v>
      </c>
      <c r="N50" s="29">
        <f>VLOOKUP(A50,[1]CPS!A49:AG233,19,FALSE)</f>
        <v>44586</v>
      </c>
      <c r="O50" s="22" t="str">
        <f>VLOOKUP(A50,[1]CPS!A49:AU233,46,FALSE)</f>
        <v>ADMINISTRACION</v>
      </c>
      <c r="P50" s="30">
        <f>VLOOKUP(A50,[1]CPS!A49:AG233,13,FALSE)</f>
        <v>1412000</v>
      </c>
      <c r="Q50" s="31">
        <f>VLOOKUP(A50,[1]CPS!A49:AG233,12,FALSE)</f>
        <v>15861467</v>
      </c>
      <c r="R50" s="32"/>
      <c r="S50" s="22" t="s">
        <v>72</v>
      </c>
      <c r="T50" s="22" t="s">
        <v>73</v>
      </c>
      <c r="U50" s="33">
        <f>VLOOKUP(A50,[1]CPS!A49:AG233,5,FALSE)</f>
        <v>1122266459</v>
      </c>
      <c r="V50" s="34" t="s">
        <v>74</v>
      </c>
      <c r="W50" s="21" t="s">
        <v>75</v>
      </c>
      <c r="X50" s="35" t="s">
        <v>71</v>
      </c>
      <c r="Y50" s="22" t="str">
        <f t="shared" si="0"/>
        <v>WILFREDO JAVIER SANCHEZ GREGORIO</v>
      </c>
      <c r="Z50" s="22" t="str">
        <f>VLOOKUP(A50,[1]CPS!A49:AU233,35,FALSE)</f>
        <v>6 NO CONSTITUYÓ GARANTÍAS</v>
      </c>
      <c r="AA50" s="25" t="str">
        <f>VLOOKUP(A50,[1]CPS!A49:AU233,37,FALSE)</f>
        <v>N/A</v>
      </c>
      <c r="AB50" s="55" t="s">
        <v>71</v>
      </c>
      <c r="AC50" s="56" t="str">
        <f>VLOOKUP(A50,[1]CPS!A49:AU233,38,FALSE)</f>
        <v>N/A</v>
      </c>
      <c r="AD50" s="55" t="str">
        <f>VLOOKUP(A50,[1]CPS!A49:AU233,39,FALSE)</f>
        <v>N/A</v>
      </c>
      <c r="AE50" s="22" t="str">
        <f>VLOOKUP(A50,[1]CPS!A49:AU233,36,FALSE)</f>
        <v>PNN Amacayacu</v>
      </c>
      <c r="AF50" s="22" t="s">
        <v>77</v>
      </c>
      <c r="AG50" s="22" t="s">
        <v>73</v>
      </c>
      <c r="AH50" s="38">
        <f>VLOOKUP(A50,[1]CPS!A49:AU233,41,FALSE)</f>
        <v>51935320</v>
      </c>
      <c r="AI50" s="22" t="str">
        <f>VLOOKUP(A50,[1]CPS!A49:AU233,29,FALSE)</f>
        <v>ELIANA MARTINEZ RUEDA</v>
      </c>
      <c r="AJ50" s="25">
        <f>VLOOKUP(A50,[1]CPS!A49:AH233,34,FALSE)</f>
        <v>337</v>
      </c>
      <c r="AK50" s="22"/>
      <c r="AL50" s="54" t="str">
        <f>VLOOKUP(A50,[1]CPS!A49:AU233,40,FALSE)</f>
        <v>N/A</v>
      </c>
      <c r="AM50" s="89">
        <f>VLOOKUP(A50,[1]CPS!A49:AU233,44,FALSE)</f>
        <v>44586</v>
      </c>
      <c r="AN50" s="22" t="s">
        <v>78</v>
      </c>
      <c r="AO50" s="22">
        <v>0</v>
      </c>
      <c r="AP50" s="42">
        <v>0</v>
      </c>
      <c r="AQ50" s="43"/>
      <c r="AR50" s="44">
        <v>0</v>
      </c>
      <c r="AS50" s="43"/>
      <c r="AT50" s="45">
        <f>VLOOKUP(A50,[1]CPS!A49:AU233,25,FALSE)</f>
        <v>44586</v>
      </c>
      <c r="AU50" s="45">
        <f>VLOOKUP(A50,[1]CPS!A49:AU233,26,FALSE)</f>
        <v>44925</v>
      </c>
      <c r="AV50" s="46"/>
      <c r="AW50" s="22" t="s">
        <v>79</v>
      </c>
      <c r="AX50" s="22"/>
      <c r="AY50" s="22"/>
      <c r="AZ50" s="22" t="s">
        <v>79</v>
      </c>
      <c r="BA50" s="22">
        <v>0</v>
      </c>
      <c r="BB50" s="22"/>
      <c r="BC50" s="22"/>
      <c r="BD50" s="22"/>
      <c r="BE50" s="47"/>
      <c r="BF50" s="59">
        <f t="shared" si="1"/>
        <v>15861467</v>
      </c>
      <c r="BG50" s="49" t="str">
        <f>VLOOKUP(A50,[1]CPS!A49:AU233,2,FALSE)</f>
        <v>LAURA CAROLINA CORREA RAMIREZ</v>
      </c>
      <c r="BH50" s="50" t="str">
        <f>VLOOKUP(A50,[1]CPS!A49:AU233,42,FALSE)</f>
        <v>https://www.secop.gov.co/CO1ContractsManagement/Tendering/ProcurementContractEdit/View?docUniqueIdentifier=CO1.PCCNTR.3392486</v>
      </c>
      <c r="BI50" s="22" t="s">
        <v>80</v>
      </c>
      <c r="BJ50" s="22"/>
      <c r="BK50" s="51" t="str">
        <f>VLOOKUP(A50,[1]CPS!A49:AU233,33,FALSE)</f>
        <v>https://community.secop.gov.co/Public/Tendering/OpportunityDetail/Index?noticeUID=CO1.NTC.2688260&amp;isFromPublicArea=True&amp;isModal=False</v>
      </c>
      <c r="BL50" s="52"/>
      <c r="BM50" s="52"/>
      <c r="BN50" s="22"/>
      <c r="BO50" s="53" t="s">
        <v>81</v>
      </c>
      <c r="BP50" s="22"/>
      <c r="BQ50" s="22"/>
      <c r="BR50" s="22"/>
    </row>
    <row r="51" spans="1:70" ht="15" customHeight="1">
      <c r="A51" s="21">
        <v>50</v>
      </c>
      <c r="B51" s="22" t="s">
        <v>131</v>
      </c>
      <c r="C51" s="23" t="s">
        <v>68</v>
      </c>
      <c r="D51" s="24" t="str">
        <f>VLOOKUP(A51,[1]CPS!A50:AG234,3,FALSE)</f>
        <v>CD-DTAM NACION-CPS No. 050 - 2022</v>
      </c>
      <c r="E51" s="25">
        <v>50</v>
      </c>
      <c r="F51" s="21" t="str">
        <f>VLOOKUP(A51,[1]CPS!A50:AG234,4,FALSE)</f>
        <v>YEISON FELIPE BECERRA MACIAS</v>
      </c>
      <c r="G51" s="90">
        <f>VLOOKUP(A51,[1]CPS!A50:AU234,43,FALSE)</f>
        <v>44583</v>
      </c>
      <c r="H51" s="21" t="str">
        <f>VLOOKUP(A51,[1]CPS!A50:AG234,9,FALSE)</f>
        <v>Prestar apoyo Operario a la gestión para adelantar actividades de control y vigilancia en el Parque Nacional Natural Serranía de los Churumbelos Auka Wasi</v>
      </c>
      <c r="I51" s="91" t="s">
        <v>69</v>
      </c>
      <c r="J51" s="22" t="s">
        <v>70</v>
      </c>
      <c r="K51" s="25" t="s">
        <v>71</v>
      </c>
      <c r="L51" s="21">
        <f>VLOOKUP(A51,[1]CPS!A50:AG234,16,FALSE)</f>
        <v>9622</v>
      </c>
      <c r="M51" s="21">
        <f>VLOOKUP(A51,[1]CPS!A50:AG234,18,FALSE)</f>
        <v>7422</v>
      </c>
      <c r="N51" s="29">
        <f>VLOOKUP(A51,[1]CPS!A50:AG234,19,FALSE)</f>
        <v>44585</v>
      </c>
      <c r="O51" s="21" t="str">
        <f>VLOOKUP(A51,[1]CPS!A50:AU234,46,FALSE)</f>
        <v>ADMINISTRACION</v>
      </c>
      <c r="P51" s="30">
        <f>VLOOKUP(A51,[1]CPS!A50:AG234,13,FALSE)</f>
        <v>1412000</v>
      </c>
      <c r="Q51" s="92">
        <f>VLOOKUP(A51,[1]CPS!A50:AG234,12,FALSE)</f>
        <v>15532000</v>
      </c>
      <c r="S51" s="22" t="s">
        <v>72</v>
      </c>
      <c r="T51" s="22" t="s">
        <v>73</v>
      </c>
      <c r="U51" s="93">
        <f>VLOOKUP(A51,[1]CPS!A50:AG234,5,FALSE)</f>
        <v>1127077392</v>
      </c>
      <c r="V51" s="34" t="s">
        <v>74</v>
      </c>
      <c r="W51" s="21" t="s">
        <v>75</v>
      </c>
      <c r="X51" s="35" t="s">
        <v>71</v>
      </c>
      <c r="Y51" s="21" t="str">
        <f t="shared" si="0"/>
        <v>YEISON FELIPE BECERRA MACIAS</v>
      </c>
      <c r="Z51" s="21" t="str">
        <f>VLOOKUP(A51,[1]CPS!A50:AU234,35,FALSE)</f>
        <v>6 NO CONSTITUYÓ GARANTÍAS</v>
      </c>
      <c r="AA51" s="25" t="str">
        <f>VLOOKUP(A51,[1]CPS!A50:AU234,37,FALSE)</f>
        <v>N/A</v>
      </c>
      <c r="AB51" s="55" t="s">
        <v>71</v>
      </c>
      <c r="AC51" s="56" t="str">
        <f>VLOOKUP(A51,[1]CPS!A50:AU234,38,FALSE)</f>
        <v>N/A</v>
      </c>
      <c r="AD51" s="55" t="str">
        <f>VLOOKUP(A51,[1]CPS!A50:AU234,39,FALSE)</f>
        <v>N/A</v>
      </c>
      <c r="AE51" s="21" t="str">
        <f>VLOOKUP(A51,[1]CPS!A50:AU234,36,FALSE)</f>
        <v>PNN Serranía de Los Churumbelos</v>
      </c>
      <c r="AF51" s="22" t="s">
        <v>77</v>
      </c>
      <c r="AG51" s="22" t="s">
        <v>73</v>
      </c>
      <c r="AH51" s="38">
        <f>VLOOKUP(A51,[1]CPS!A50:AU234,41,FALSE)</f>
        <v>19481189</v>
      </c>
      <c r="AI51" s="21" t="str">
        <f>VLOOKUP(A51,[1]CPS!A50:AU234,29,FALSE)</f>
        <v>FLABIO ARMANDO HERRERA CAICEDO</v>
      </c>
      <c r="AJ51" s="35">
        <f>VLOOKUP(A51,[1]CPS!A50:AH234,34,FALSE)</f>
        <v>330</v>
      </c>
      <c r="AL51" s="94" t="str">
        <f>VLOOKUP(A51,[1]CPS!A50:AU234,40,FALSE)</f>
        <v>N/A</v>
      </c>
      <c r="AM51" s="95">
        <f>VLOOKUP(A51,[1]CPS!A50:AU234,44,FALSE)</f>
        <v>44586</v>
      </c>
      <c r="AN51" s="22" t="s">
        <v>78</v>
      </c>
      <c r="AO51" s="22">
        <v>0</v>
      </c>
      <c r="AP51" s="42">
        <v>0</v>
      </c>
      <c r="AQ51" s="43"/>
      <c r="AR51" s="44">
        <v>0</v>
      </c>
      <c r="AT51" s="96">
        <f>VLOOKUP(A51,[1]CPS!A50:AU234,25,FALSE)</f>
        <v>44585</v>
      </c>
      <c r="AU51" s="96">
        <f>VLOOKUP(A51,[1]CPS!A50:AU234,26,FALSE)</f>
        <v>44918</v>
      </c>
      <c r="AV51" s="97"/>
      <c r="AW51" s="22" t="s">
        <v>79</v>
      </c>
      <c r="AZ51" s="22" t="s">
        <v>79</v>
      </c>
      <c r="BA51" s="22">
        <v>0</v>
      </c>
      <c r="BE51" s="98"/>
      <c r="BF51" s="99">
        <f t="shared" si="1"/>
        <v>15532000</v>
      </c>
      <c r="BG51" s="100" t="str">
        <f>VLOOKUP(A51,[1]CPS!A50:AU234,2,FALSE)</f>
        <v>NORYLY AGUIRRE OTALORA</v>
      </c>
      <c r="BH51" s="21" t="str">
        <f>VLOOKUP(A51,[1]CPS!A50:AU234,42,FALSE)</f>
        <v>https://www.secop.gov.co/CO1ContractsManagement/Tendering/ProcurementContractEdit/View?docUniqueIdentifier=CO1.PCCNTR.3370961</v>
      </c>
      <c r="BI51" s="22" t="s">
        <v>80</v>
      </c>
      <c r="BK51" s="51" t="str">
        <f>VLOOKUP(A51,[1]CPS!A50:AU234,33,FALSE)</f>
        <v>https://community.secop.gov.co/Public/Tendering/ContractNoticePhases/View?PPI=CO1.PPI.16959266&amp;isFromPublicArea=True&amp;isModal=False</v>
      </c>
      <c r="BO51" s="53" t="s">
        <v>81</v>
      </c>
    </row>
    <row r="52" spans="1:70" ht="15" customHeight="1">
      <c r="A52" s="21">
        <v>51</v>
      </c>
      <c r="B52" s="22" t="s">
        <v>132</v>
      </c>
      <c r="C52" s="23" t="s">
        <v>68</v>
      </c>
      <c r="D52" s="24" t="str">
        <f>VLOOKUP(A52,[1]CPS!A51:AG235,3,FALSE)</f>
        <v>CD-DTAM NACION-CPS No. 051 - 2022</v>
      </c>
      <c r="E52" s="25">
        <v>51</v>
      </c>
      <c r="F52" s="21" t="str">
        <f>VLOOKUP(A52,[1]CPS!A51:AG235,4,FALSE)</f>
        <v>ZAQUEO BARRIOS SÁNCHEZ</v>
      </c>
      <c r="G52" s="90">
        <f>VLOOKUP(A52,[1]CPS!A51:AU235,43,FALSE)</f>
        <v>44585</v>
      </c>
      <c r="H52" s="21" t="str">
        <f>VLOOKUP(A52,[1]CPS!A51:AG235,9,FALSE)</f>
        <v>Prestar servicios asistenciales y de apoyo a la gestión en actividades de Ordenamiento Ambiental y Estrategias de fortalecimiento a la gobernabilidad con las comunidades del sector norte del PNN Amacayacu</v>
      </c>
      <c r="I52" s="91" t="s">
        <v>69</v>
      </c>
      <c r="J52" s="22" t="s">
        <v>70</v>
      </c>
      <c r="K52" s="25" t="s">
        <v>71</v>
      </c>
      <c r="L52" s="21">
        <f>VLOOKUP(A52,[1]CPS!A51:AG235,16,FALSE)</f>
        <v>8322</v>
      </c>
      <c r="M52" s="21">
        <f>VLOOKUP(A52,[1]CPS!A51:AG235,18,FALSE)</f>
        <v>8622</v>
      </c>
      <c r="N52" s="29">
        <f>VLOOKUP(A52,[1]CPS!A51:AG235,19,FALSE)</f>
        <v>44586</v>
      </c>
      <c r="O52" s="21" t="str">
        <f>VLOOKUP(A52,[1]CPS!A51:AU235,46,FALSE)</f>
        <v>ADMINISTRACION</v>
      </c>
      <c r="P52" s="30">
        <f>VLOOKUP(A52,[1]CPS!A51:AG235,13,FALSE)</f>
        <v>1412000</v>
      </c>
      <c r="Q52" s="92">
        <f>VLOOKUP(A52,[1]CPS!A51:AG235,12,FALSE)</f>
        <v>15532000</v>
      </c>
      <c r="S52" s="22" t="s">
        <v>72</v>
      </c>
      <c r="T52" s="22" t="s">
        <v>73</v>
      </c>
      <c r="U52" s="93">
        <f>VLOOKUP(A52,[1]CPS!A51:AG235,5,FALSE)</f>
        <v>1121208185</v>
      </c>
      <c r="V52" s="34" t="s">
        <v>74</v>
      </c>
      <c r="W52" s="21" t="s">
        <v>75</v>
      </c>
      <c r="X52" s="35" t="s">
        <v>71</v>
      </c>
      <c r="Y52" s="21" t="str">
        <f t="shared" si="0"/>
        <v>ZAQUEO BARRIOS SÁNCHEZ</v>
      </c>
      <c r="Z52" s="21" t="str">
        <f>VLOOKUP(A52,[1]CPS!A51:AU235,35,FALSE)</f>
        <v>6 NO CONSTITUYÓ GARANTÍAS</v>
      </c>
      <c r="AA52" s="25" t="str">
        <f>VLOOKUP(A52,[1]CPS!A51:AU235,37,FALSE)</f>
        <v>N/A</v>
      </c>
      <c r="AB52" s="55" t="s">
        <v>71</v>
      </c>
      <c r="AC52" s="56" t="str">
        <f>VLOOKUP(A52,[1]CPS!A51:AU235,38,FALSE)</f>
        <v>N/A</v>
      </c>
      <c r="AD52" s="55" t="str">
        <f>VLOOKUP(A52,[1]CPS!A51:AU235,39,FALSE)</f>
        <v>N/A</v>
      </c>
      <c r="AE52" s="21" t="str">
        <f>VLOOKUP(A52,[1]CPS!A51:AU235,36,FALSE)</f>
        <v>PNN Amacayacu</v>
      </c>
      <c r="AF52" s="22" t="s">
        <v>77</v>
      </c>
      <c r="AG52" s="22" t="s">
        <v>73</v>
      </c>
      <c r="AH52" s="38">
        <f>VLOOKUP(A52,[1]CPS!A51:AU235,41,FALSE)</f>
        <v>51935320</v>
      </c>
      <c r="AI52" s="21" t="str">
        <f>VLOOKUP(A52,[1]CPS!A51:AU235,29,FALSE)</f>
        <v>ELIANA MARTINEZ RUEDA</v>
      </c>
      <c r="AJ52" s="35">
        <f>VLOOKUP(A52,[1]CPS!A51:AH235,34,FALSE)</f>
        <v>330</v>
      </c>
      <c r="AL52" s="94" t="str">
        <f>VLOOKUP(A52,[1]CPS!A51:AU235,40,FALSE)</f>
        <v>N/A</v>
      </c>
      <c r="AM52" s="95">
        <f>VLOOKUP(A52,[1]CPS!A51:AU235,44,FALSE)</f>
        <v>44586</v>
      </c>
      <c r="AN52" s="22" t="s">
        <v>78</v>
      </c>
      <c r="AO52" s="22">
        <v>0</v>
      </c>
      <c r="AP52" s="42">
        <v>0</v>
      </c>
      <c r="AQ52" s="43"/>
      <c r="AR52" s="44">
        <v>0</v>
      </c>
      <c r="AT52" s="96">
        <f>VLOOKUP(A52,[1]CPS!A51:AU235,25,FALSE)</f>
        <v>44586</v>
      </c>
      <c r="AU52" s="96">
        <f>VLOOKUP(A52,[1]CPS!A51:AU235,26,FALSE)</f>
        <v>44919</v>
      </c>
      <c r="AV52" s="97"/>
      <c r="AW52" s="22" t="s">
        <v>79</v>
      </c>
      <c r="AZ52" s="22" t="s">
        <v>79</v>
      </c>
      <c r="BA52" s="22">
        <v>0</v>
      </c>
      <c r="BE52" s="98"/>
      <c r="BF52" s="99">
        <f t="shared" si="1"/>
        <v>15532000</v>
      </c>
      <c r="BG52" s="100" t="str">
        <f>VLOOKUP(A52,[1]CPS!A51:AU235,2,FALSE)</f>
        <v>LAURA CAROLINA CORREA RAMIREZ</v>
      </c>
      <c r="BH52" s="21" t="str">
        <f>VLOOKUP(A52,[1]CPS!A51:AU235,42,FALSE)</f>
        <v>https://www.secop.gov.co/CO1ContractsManagement/Tendering/ProcurementContractEdit/View?docUniqueIdentifier=CO1.PCCNTR.3400809</v>
      </c>
      <c r="BI52" s="22" t="s">
        <v>80</v>
      </c>
      <c r="BK52" s="51" t="str">
        <f>VLOOKUP(A52,[1]CPS!A51:AU235,33,FALSE)</f>
        <v>https://community.secop.gov.co/Public/Tendering/OpportunityDetail/Index?noticeUID=CO1.NTC.2695188&amp;isFromPublicArea=True&amp;isModal=False</v>
      </c>
      <c r="BO52" s="53" t="s">
        <v>81</v>
      </c>
    </row>
    <row r="53" spans="1:70" ht="15" customHeight="1">
      <c r="A53" s="21">
        <v>52</v>
      </c>
      <c r="B53" s="22" t="s">
        <v>133</v>
      </c>
      <c r="C53" s="23" t="s">
        <v>68</v>
      </c>
      <c r="D53" s="24" t="str">
        <f>VLOOKUP(A53,[1]CPS!A52:AG236,3,FALSE)</f>
        <v>CD-DTAM NACION-CPS No. 052 - 2022_2</v>
      </c>
      <c r="E53" s="25">
        <v>52</v>
      </c>
      <c r="F53" s="21" t="str">
        <f>VLOOKUP(A53,[1]CPS!A52:AG236,4,FALSE)</f>
        <v>ANDRES FABIAN VALBUENA LOZANO</v>
      </c>
      <c r="G53" s="90">
        <f>VLOOKUP(A53,[1]CPS!A52:AU236,43,FALSE)</f>
        <v>44585</v>
      </c>
      <c r="H53" s="21" t="str">
        <f>VLOOKUP(A53,[1]CPS!A52:AG236,9,FALSE)</f>
        <v>Prestar apoyo técnico, para realizar seguimiento de los instrumentos de planeación, como la ejecución presupuestal, apoyo manejo de inventarios, apoyo a la contratación y de soporte a los mecanismos de planeación, evaluación, seguimiento y Sistema Integrado de Gestión de la RNN Puinawai</v>
      </c>
      <c r="I53" s="91" t="s">
        <v>69</v>
      </c>
      <c r="J53" s="22" t="s">
        <v>70</v>
      </c>
      <c r="K53" s="25" t="s">
        <v>71</v>
      </c>
      <c r="L53" s="21">
        <f>VLOOKUP(A53,[1]CPS!A52:AG236,16,FALSE)</f>
        <v>10022</v>
      </c>
      <c r="M53" s="21">
        <f>VLOOKUP(A53,[1]CPS!A52:AG236,18,FALSE)</f>
        <v>8222</v>
      </c>
      <c r="N53" s="29">
        <f>VLOOKUP(A53,[1]CPS!A52:AG236,19,FALSE)</f>
        <v>44585</v>
      </c>
      <c r="O53" s="21" t="str">
        <f>VLOOKUP(A53,[1]CPS!A52:AU236,46,FALSE)</f>
        <v>FORTALECIMIENTO</v>
      </c>
      <c r="P53" s="30">
        <f>VLOOKUP(A53,[1]CPS!A52:AG236,13,FALSE)</f>
        <v>2330000</v>
      </c>
      <c r="Q53" s="92">
        <f>VLOOKUP(A53,[1]CPS!A52:AG236,12,FALSE)</f>
        <v>25630000</v>
      </c>
      <c r="S53" s="22" t="s">
        <v>72</v>
      </c>
      <c r="T53" s="22" t="s">
        <v>73</v>
      </c>
      <c r="U53" s="93">
        <f>VLOOKUP(A53,[1]CPS!A52:AG236,5,FALSE)</f>
        <v>80131060</v>
      </c>
      <c r="V53" s="34" t="s">
        <v>74</v>
      </c>
      <c r="W53" s="21" t="s">
        <v>75</v>
      </c>
      <c r="X53" s="35" t="s">
        <v>71</v>
      </c>
      <c r="Y53" s="21" t="str">
        <f t="shared" si="0"/>
        <v>ANDRES FABIAN VALBUENA LOZANO</v>
      </c>
      <c r="Z53" s="21" t="str">
        <f>VLOOKUP(A53,[1]CPS!A52:AU236,35,FALSE)</f>
        <v>6 NO CONSTITUYÓ GARANTÍAS</v>
      </c>
      <c r="AA53" s="25" t="str">
        <f>VLOOKUP(A53,[1]CPS!A52:AU236,37,FALSE)</f>
        <v>N/A</v>
      </c>
      <c r="AB53" s="55" t="s">
        <v>71</v>
      </c>
      <c r="AC53" s="56" t="str">
        <f>VLOOKUP(A53,[1]CPS!A52:AU236,38,FALSE)</f>
        <v>N/A</v>
      </c>
      <c r="AD53" s="55" t="str">
        <f>VLOOKUP(A53,[1]CPS!A52:AU236,39,FALSE)</f>
        <v>N/A</v>
      </c>
      <c r="AE53" s="21" t="str">
        <f>VLOOKUP(A53,[1]CPS!A52:AU236,36,FALSE)</f>
        <v>RNN Puinawai</v>
      </c>
      <c r="AF53" s="22" t="s">
        <v>77</v>
      </c>
      <c r="AG53" s="22" t="s">
        <v>73</v>
      </c>
      <c r="AH53" s="38">
        <f>VLOOKUP(A53,[1]CPS!A52:AU236,41,FALSE)</f>
        <v>19363081</v>
      </c>
      <c r="AI53" s="21" t="str">
        <f>VLOOKUP(A53,[1]CPS!A52:AU236,29,FALSE)</f>
        <v>CESAR ZÁRATE BOTTIA</v>
      </c>
      <c r="AJ53" s="35">
        <f>VLOOKUP(A53,[1]CPS!A52:AH236,34,FALSE)</f>
        <v>330</v>
      </c>
      <c r="AL53" s="94" t="str">
        <f>VLOOKUP(A53,[1]CPS!A52:AU236,40,FALSE)</f>
        <v>N/A</v>
      </c>
      <c r="AM53" s="95">
        <f>VLOOKUP(A53,[1]CPS!A52:AU236,44,FALSE)</f>
        <v>44586</v>
      </c>
      <c r="AN53" s="22" t="s">
        <v>78</v>
      </c>
      <c r="AO53" s="22">
        <v>0</v>
      </c>
      <c r="AP53" s="42">
        <v>0</v>
      </c>
      <c r="AQ53" s="43"/>
      <c r="AR53" s="44">
        <v>0</v>
      </c>
      <c r="AT53" s="96">
        <f>VLOOKUP(A53,[1]CPS!A52:AU236,25,FALSE)</f>
        <v>44585</v>
      </c>
      <c r="AU53" s="96">
        <f>VLOOKUP(A53,[1]CPS!A52:AU236,26,FALSE)</f>
        <v>44918</v>
      </c>
      <c r="AV53" s="97"/>
      <c r="AW53" s="22" t="s">
        <v>79</v>
      </c>
      <c r="AZ53" s="22" t="s">
        <v>79</v>
      </c>
      <c r="BA53" s="22">
        <v>0</v>
      </c>
      <c r="BE53" s="98"/>
      <c r="BF53" s="99">
        <f t="shared" si="1"/>
        <v>25630000</v>
      </c>
      <c r="BG53" s="100" t="str">
        <f>VLOOKUP(A53,[1]CPS!A52:AU236,2,FALSE)</f>
        <v>NORYLY AGUIRRE OTALORA</v>
      </c>
      <c r="BH53" s="21" t="str">
        <f>VLOOKUP(A53,[1]CPS!A52:AU236,42,FALSE)</f>
        <v>https://www.secop.gov.co/CO1ContractsManagement/Tendering/ProcurementContractEdit/View?docUniqueIdentifier=CO1.PCCNTR.3394773</v>
      </c>
      <c r="BI53" s="22" t="s">
        <v>80</v>
      </c>
      <c r="BK53" s="51" t="str">
        <f>VLOOKUP(A53,[1]CPS!A52:AU236,33,FALSE)</f>
        <v>https://community.secop.gov.co/Public/Tendering/ContractNoticePhases/View?PPI=CO1.PPI.17072718&amp;isFromPublicArea=True&amp;isModal=False</v>
      </c>
      <c r="BO53" s="53" t="s">
        <v>81</v>
      </c>
    </row>
    <row r="54" spans="1:70" ht="15" customHeight="1">
      <c r="A54" s="21">
        <v>53</v>
      </c>
      <c r="B54" s="22" t="s">
        <v>134</v>
      </c>
      <c r="C54" s="23" t="s">
        <v>68</v>
      </c>
      <c r="D54" s="24" t="str">
        <f>VLOOKUP(A54,[1]CPS!A53:AG237,3,FALSE)</f>
        <v>CD-DTAM NACION-CPS No. 053 - 2022</v>
      </c>
      <c r="E54" s="25">
        <v>53</v>
      </c>
      <c r="F54" s="21" t="str">
        <f>VLOOKUP(A54,[1]CPS!A53:AG237,4,FALSE)</f>
        <v>JHONATAN ALEXANDER PRIETO CASTAÑO</v>
      </c>
      <c r="G54" s="90">
        <f>VLOOKUP(A54,[1]CPS!A53:AU237,43,FALSE)</f>
        <v>44584</v>
      </c>
      <c r="H54" s="21" t="str">
        <f>VLOOKUP(A54,[1]CPS!A53:AG237,9,FALSE)</f>
        <v>Prestar servicios técnicos y de apoyo a la gestión con el fin de adelantar los tramites presupuestales en el aplicativo SIIF Nación y la gestión de comisiones, viáticos, gastos de viajes y tiquetes de la DTAM</v>
      </c>
      <c r="I54" s="91" t="s">
        <v>69</v>
      </c>
      <c r="J54" s="22" t="s">
        <v>70</v>
      </c>
      <c r="K54" s="25" t="s">
        <v>71</v>
      </c>
      <c r="L54" s="21">
        <f>VLOOKUP(A54,[1]CPS!A53:AG237,16,FALSE)</f>
        <v>9022</v>
      </c>
      <c r="M54" s="21">
        <f>VLOOKUP(A54,[1]CPS!A53:AG237,18,FALSE)</f>
        <v>6922</v>
      </c>
      <c r="N54" s="29">
        <f>VLOOKUP(A54,[1]CPS!A53:AG237,19,FALSE)</f>
        <v>44585</v>
      </c>
      <c r="O54" s="21" t="str">
        <f>VLOOKUP(A54,[1]CPS!A53:AU237,46,FALSE)</f>
        <v>FORTALECIMIENTO</v>
      </c>
      <c r="P54" s="30">
        <f>VLOOKUP(A54,[1]CPS!A53:AG237,13,FALSE)</f>
        <v>2812000</v>
      </c>
      <c r="Q54" s="92">
        <f>VLOOKUP(A54,[1]CPS!A53:AG237,12,FALSE)</f>
        <v>25308000</v>
      </c>
      <c r="S54" s="22" t="s">
        <v>72</v>
      </c>
      <c r="T54" s="22" t="s">
        <v>73</v>
      </c>
      <c r="U54" s="93">
        <f>VLOOKUP(A54,[1]CPS!A53:AG237,5,FALSE)</f>
        <v>1018457708</v>
      </c>
      <c r="V54" s="34" t="s">
        <v>74</v>
      </c>
      <c r="W54" s="21" t="s">
        <v>75</v>
      </c>
      <c r="X54" s="35" t="s">
        <v>71</v>
      </c>
      <c r="Y54" s="21" t="str">
        <f t="shared" si="0"/>
        <v>JHONATAN ALEXANDER PRIETO CASTAÑO</v>
      </c>
      <c r="Z54" s="21" t="str">
        <f>VLOOKUP(A54,[1]CPS!A53:AU237,35,FALSE)</f>
        <v>6 NO CONSTITUYÓ GARANTÍAS</v>
      </c>
      <c r="AA54" s="25" t="str">
        <f>VLOOKUP(A54,[1]CPS!A53:AU237,37,FALSE)</f>
        <v>N/A</v>
      </c>
      <c r="AB54" s="55" t="s">
        <v>71</v>
      </c>
      <c r="AC54" s="56" t="str">
        <f>VLOOKUP(A54,[1]CPS!A53:AU237,38,FALSE)</f>
        <v>N/A</v>
      </c>
      <c r="AD54" s="55" t="str">
        <f>VLOOKUP(A54,[1]CPS!A53:AU237,39,FALSE)</f>
        <v>N/A</v>
      </c>
      <c r="AE54" s="21" t="str">
        <f>VLOOKUP(A54,[1]CPS!A53:AU237,36,FALSE)</f>
        <v>Dirección Territorial Amazonía</v>
      </c>
      <c r="AF54" s="22" t="s">
        <v>77</v>
      </c>
      <c r="AG54" s="22" t="s">
        <v>73</v>
      </c>
      <c r="AH54" s="38">
        <f>VLOOKUP(A54,[1]CPS!A53:AU237,41,FALSE)</f>
        <v>41674698</v>
      </c>
      <c r="AI54" s="21" t="str">
        <f>VLOOKUP(A54,[1]CPS!A53:AU237,29,FALSE)</f>
        <v>CLAUDIA OFELIA MANRIQUE ROA</v>
      </c>
      <c r="AJ54" s="35">
        <f>VLOOKUP(A54,[1]CPS!A53:AH237,34,FALSE)</f>
        <v>270</v>
      </c>
      <c r="AL54" s="94" t="str">
        <f>VLOOKUP(A54,[1]CPS!A53:AU237,40,FALSE)</f>
        <v>N/A</v>
      </c>
      <c r="AM54" s="95">
        <f>VLOOKUP(A54,[1]CPS!A53:AU237,44,FALSE)</f>
        <v>44585</v>
      </c>
      <c r="AN54" s="22" t="s">
        <v>78</v>
      </c>
      <c r="AO54" s="22">
        <v>0</v>
      </c>
      <c r="AP54" s="42">
        <v>0</v>
      </c>
      <c r="AQ54" s="43"/>
      <c r="AR54" s="44">
        <v>0</v>
      </c>
      <c r="AT54" s="96">
        <f>VLOOKUP(A54,[1]CPS!A53:AU237,25,FALSE)</f>
        <v>44585</v>
      </c>
      <c r="AU54" s="96">
        <f>VLOOKUP(A54,[1]CPS!A53:AU237,26,FALSE)</f>
        <v>44857</v>
      </c>
      <c r="AV54" s="97"/>
      <c r="AW54" s="22" t="s">
        <v>79</v>
      </c>
      <c r="AZ54" s="22" t="s">
        <v>79</v>
      </c>
      <c r="BA54" s="22">
        <v>0</v>
      </c>
      <c r="BE54" s="98"/>
      <c r="BF54" s="99">
        <f t="shared" si="1"/>
        <v>25308000</v>
      </c>
      <c r="BG54" s="100" t="str">
        <f>VLOOKUP(A54,[1]CPS!A53:AU237,2,FALSE)</f>
        <v>CAROL ANGELICA CERCADO</v>
      </c>
      <c r="BH54" s="21" t="str">
        <f>VLOOKUP(A54,[1]CPS!A53:AU237,42,FALSE)</f>
        <v>https://www.secop.gov.co/CO1ContractsManagement/Tendering/ProcurementContractEdit/View?docUniqueIdentifier=CO1.PCCNTR.3378837</v>
      </c>
      <c r="BI54" s="22" t="s">
        <v>80</v>
      </c>
      <c r="BK54" s="51" t="str">
        <f>VLOOKUP(A54,[1]CPS!A53:AU237,33,FALSE)</f>
        <v>https://www.secop.gov.co/CO1ContractsManagement/Tendering/ProcurementContractEdit/View?docUniqueIdentifier=CO1.PCCNTR.3378837&amp;awardUniqueIdentifier=&amp;buyerDossierUniqueIdentifier=CO1.BDOS.2675219&amp;id=1635771&amp;prevCtxUrl=https%3a%2f%2fwww.secop.gov.co%2fCO1BusinessLine%2fTendering%2fBuyerDossierWorkspace%2fIndex%3fsortingState%3dLastModifiedDESC%26showAdvancedSearch%3dFalse%26showAdvancedSearchFields%3dFalse%26selectedDossier%3dCO1.BDOS.2675219%26selectedRequest%3dCO1.REQ.2750435%26&amp;prevCtxLbl=Procesos+de+la+Entidad+Estatal</v>
      </c>
      <c r="BO54" s="53" t="s">
        <v>81</v>
      </c>
    </row>
    <row r="55" spans="1:70" ht="15" customHeight="1">
      <c r="A55" s="21">
        <v>54</v>
      </c>
      <c r="B55" s="22" t="s">
        <v>135</v>
      </c>
      <c r="C55" s="23" t="s">
        <v>68</v>
      </c>
      <c r="D55" s="24" t="str">
        <f>VLOOKUP(A55,[1]CPS!A54:AG238,3,FALSE)</f>
        <v>CD-DTAM NACION-CPS No. 054 - 2022</v>
      </c>
      <c r="E55" s="25">
        <v>54</v>
      </c>
      <c r="F55" s="21" t="str">
        <f>VLOOKUP(A55,[1]CPS!A54:AG238,4,FALSE)</f>
        <v>ORLANDO NORIEGA ANGEL</v>
      </c>
      <c r="G55" s="90">
        <f>VLOOKUP(A55,[1]CPS!A54:AU238,43,FALSE)</f>
        <v>44585</v>
      </c>
      <c r="H55" s="21" t="str">
        <f>VLOOKUP(A55,[1]CPS!A54:AG238,9,FALSE)</f>
        <v>Prestar servicios asistenciales y de apoyo a la gestión con énfasis en las actividades de prevención y de fortalecimiento a la gobernanza ambiental en el Parque Nacional Natural Amacayacu.</v>
      </c>
      <c r="I55" s="91" t="s">
        <v>69</v>
      </c>
      <c r="J55" s="22" t="s">
        <v>70</v>
      </c>
      <c r="K55" s="25" t="s">
        <v>71</v>
      </c>
      <c r="L55" s="21">
        <f>VLOOKUP(A55,[1]CPS!A54:AG238,16,FALSE)</f>
        <v>4822</v>
      </c>
      <c r="M55" s="21">
        <f>VLOOKUP(A55,[1]CPS!A54:AG238,18,FALSE)</f>
        <v>7722</v>
      </c>
      <c r="N55" s="29">
        <f>VLOOKUP(A55,[1]CPS!A54:AG238,19,FALSE)</f>
        <v>44585</v>
      </c>
      <c r="O55" s="21" t="str">
        <f>VLOOKUP(A55,[1]CPS!A54:AU238,46,FALSE)</f>
        <v>ADMINISTRACION</v>
      </c>
      <c r="P55" s="30">
        <f>VLOOKUP(A55,[1]CPS!A54:AG238,13,FALSE)</f>
        <v>1412000</v>
      </c>
      <c r="Q55" s="92">
        <f>VLOOKUP(A55,[1]CPS!A54:AG238,12,FALSE)</f>
        <v>15532000</v>
      </c>
      <c r="S55" s="22" t="s">
        <v>72</v>
      </c>
      <c r="T55" s="22" t="s">
        <v>73</v>
      </c>
      <c r="U55" s="93">
        <f>VLOOKUP(A55,[1]CPS!A54:AG238,5,FALSE)</f>
        <v>15878679</v>
      </c>
      <c r="V55" s="34" t="s">
        <v>74</v>
      </c>
      <c r="W55" s="21" t="s">
        <v>75</v>
      </c>
      <c r="X55" s="35" t="s">
        <v>71</v>
      </c>
      <c r="Y55" s="21" t="str">
        <f t="shared" si="0"/>
        <v>ORLANDO NORIEGA ANGEL</v>
      </c>
      <c r="Z55" s="21" t="str">
        <f>VLOOKUP(A55,[1]CPS!A54:AU238,35,FALSE)</f>
        <v>6 NO CONSTITUYÓ GARANTÍAS</v>
      </c>
      <c r="AA55" s="25" t="str">
        <f>VLOOKUP(A55,[1]CPS!A54:AU238,37,FALSE)</f>
        <v>N/A</v>
      </c>
      <c r="AB55" s="55" t="s">
        <v>71</v>
      </c>
      <c r="AC55" s="56" t="str">
        <f>VLOOKUP(A55,[1]CPS!A54:AU238,38,FALSE)</f>
        <v>N/A</v>
      </c>
      <c r="AD55" s="55" t="str">
        <f>VLOOKUP(A55,[1]CPS!A54:AU238,39,FALSE)</f>
        <v>N/A</v>
      </c>
      <c r="AE55" s="21" t="str">
        <f>VLOOKUP(A55,[1]CPS!A54:AU238,36,FALSE)</f>
        <v>PNN Amacayacu</v>
      </c>
      <c r="AF55" s="22" t="s">
        <v>77</v>
      </c>
      <c r="AG55" s="22" t="s">
        <v>73</v>
      </c>
      <c r="AH55" s="38">
        <f>VLOOKUP(A55,[1]CPS!A54:AU238,41,FALSE)</f>
        <v>51935320</v>
      </c>
      <c r="AI55" s="21" t="str">
        <f>VLOOKUP(A55,[1]CPS!A54:AU238,29,FALSE)</f>
        <v>ELIANA MARTINEZ RUEDA</v>
      </c>
      <c r="AJ55" s="35">
        <f>VLOOKUP(A55,[1]CPS!A54:AH238,34,FALSE)</f>
        <v>330</v>
      </c>
      <c r="AL55" s="94" t="str">
        <f>VLOOKUP(A55,[1]CPS!A54:AU238,40,FALSE)</f>
        <v>N/A</v>
      </c>
      <c r="AM55" s="95">
        <f>VLOOKUP(A55,[1]CPS!A54:AU238,44,FALSE)</f>
        <v>44585</v>
      </c>
      <c r="AN55" s="22" t="s">
        <v>78</v>
      </c>
      <c r="AO55" s="22">
        <v>0</v>
      </c>
      <c r="AP55" s="42">
        <v>0</v>
      </c>
      <c r="AQ55" s="43"/>
      <c r="AR55" s="44">
        <v>0</v>
      </c>
      <c r="AT55" s="96">
        <f>VLOOKUP(A55,[1]CPS!A54:AU238,25,FALSE)</f>
        <v>44585</v>
      </c>
      <c r="AU55" s="96">
        <f>VLOOKUP(A55,[1]CPS!A54:AU238,26,FALSE)</f>
        <v>44918</v>
      </c>
      <c r="AV55" s="97"/>
      <c r="AW55" s="22" t="s">
        <v>79</v>
      </c>
      <c r="AZ55" s="22" t="s">
        <v>79</v>
      </c>
      <c r="BA55" s="22">
        <v>0</v>
      </c>
      <c r="BE55" s="98"/>
      <c r="BF55" s="99">
        <f t="shared" si="1"/>
        <v>15532000</v>
      </c>
      <c r="BG55" s="100" t="str">
        <f>VLOOKUP(A55,[1]CPS!A54:AU238,2,FALSE)</f>
        <v>LAURA CAROLINA CORREA RAMIREZ</v>
      </c>
      <c r="BH55" s="21" t="str">
        <f>VLOOKUP(A55,[1]CPS!A54:AU238,42,FALSE)</f>
        <v>https://www.secop.gov.co/CO1ContractsManagement/Tendering/ProcurementContractEdit/View?docUniqueIdentifier=CO1.PCCNTR.3392185</v>
      </c>
      <c r="BI55" s="22" t="s">
        <v>80</v>
      </c>
      <c r="BK55" s="51" t="str">
        <f>VLOOKUP(A55,[1]CPS!A54:AU238,33,FALSE)</f>
        <v>https://community.secop.gov.co/Public/Tendering/OpportunityDetail/Index?noticeUID=CO1.NTC.2688124&amp;isFromPublicArea=True&amp;isModal=False</v>
      </c>
      <c r="BO55" s="53" t="s">
        <v>81</v>
      </c>
    </row>
    <row r="56" spans="1:70" ht="15" customHeight="1">
      <c r="A56" s="21">
        <v>55</v>
      </c>
      <c r="B56" s="22" t="s">
        <v>136</v>
      </c>
      <c r="C56" s="23" t="s">
        <v>68</v>
      </c>
      <c r="D56" s="24" t="str">
        <f>VLOOKUP(A56,[1]CPS!A55:AG239,3,FALSE)</f>
        <v>CD-DTAM NACION-CPS No. 055 - 2022</v>
      </c>
      <c r="E56" s="25">
        <v>55</v>
      </c>
      <c r="F56" s="21" t="str">
        <f>VLOOKUP(A56,[1]CPS!A55:AG239,4,FALSE)</f>
        <v>WILSON DOVIGAMA QUEREGAMA</v>
      </c>
      <c r="G56" s="90">
        <f>VLOOKUP(A56,[1]CPS!A55:AU239,43,FALSE)</f>
        <v>44587</v>
      </c>
      <c r="H56" s="21" t="str">
        <f>VLOOKUP(A56,[1]CPS!A55:AG239,9,FALSE)</f>
        <v>Prestar apoyo como operario en la realización de actividades de Prevención, Vigilancia y Control del SF PMOIA, con énfasis en actividades con la comunidad Embera de Alto Orito.</v>
      </c>
      <c r="I56" s="91" t="s">
        <v>69</v>
      </c>
      <c r="J56" s="22" t="s">
        <v>70</v>
      </c>
      <c r="K56" s="25" t="s">
        <v>71</v>
      </c>
      <c r="L56" s="21">
        <f>VLOOKUP(A56,[1]CPS!A55:AG239,16,FALSE)</f>
        <v>12222</v>
      </c>
      <c r="M56" s="21">
        <f>VLOOKUP(A56,[1]CPS!A55:AG239,18,FALSE)</f>
        <v>11822</v>
      </c>
      <c r="N56" s="29">
        <f>VLOOKUP(A56,[1]CPS!A55:AG239,19,FALSE)</f>
        <v>44587</v>
      </c>
      <c r="O56" s="21" t="str">
        <f>VLOOKUP(A56,[1]CPS!A55:AU239,46,FALSE)</f>
        <v>ADMINISTRACION</v>
      </c>
      <c r="P56" s="30">
        <f>VLOOKUP(A56,[1]CPS!A55:AG239,13,FALSE)</f>
        <v>1412000</v>
      </c>
      <c r="Q56" s="92">
        <f>VLOOKUP(A56,[1]CPS!A55:AG239,12,FALSE)</f>
        <v>15532000</v>
      </c>
      <c r="S56" s="22" t="s">
        <v>72</v>
      </c>
      <c r="T56" s="22" t="s">
        <v>73</v>
      </c>
      <c r="U56" s="93">
        <f>VLOOKUP(A56,[1]CPS!A55:AG239,5,FALSE)</f>
        <v>1123328549</v>
      </c>
      <c r="V56" s="34" t="s">
        <v>74</v>
      </c>
      <c r="W56" s="21" t="s">
        <v>75</v>
      </c>
      <c r="X56" s="35" t="s">
        <v>71</v>
      </c>
      <c r="Y56" s="21" t="str">
        <f t="shared" si="0"/>
        <v>WILSON DOVIGAMA QUEREGAMA</v>
      </c>
      <c r="Z56" s="21" t="str">
        <f>VLOOKUP(A56,[1]CPS!A55:AU239,35,FALSE)</f>
        <v>6 NO CONSTITUYÓ GARANTÍAS</v>
      </c>
      <c r="AA56" s="25" t="str">
        <f>VLOOKUP(A56,[1]CPS!A55:AU239,37,FALSE)</f>
        <v>N/A</v>
      </c>
      <c r="AB56" s="55" t="s">
        <v>71</v>
      </c>
      <c r="AC56" s="56" t="str">
        <f>VLOOKUP(A56,[1]CPS!A55:AU239,38,FALSE)</f>
        <v>N/A</v>
      </c>
      <c r="AD56" s="55" t="str">
        <f>VLOOKUP(A56,[1]CPS!A55:AU239,39,FALSE)</f>
        <v>N/A</v>
      </c>
      <c r="AE56" s="21" t="str">
        <f>VLOOKUP(A56,[1]CPS!A55:AU239,36,FALSE)</f>
        <v>SF Plantas Medicinales Orito Ingi-Ande</v>
      </c>
      <c r="AF56" s="22" t="s">
        <v>77</v>
      </c>
      <c r="AG56" s="22" t="s">
        <v>73</v>
      </c>
      <c r="AH56" s="38">
        <f>VLOOKUP(A56,[1]CPS!A55:AU239,41,FALSE)</f>
        <v>71114184</v>
      </c>
      <c r="AI56" s="21" t="str">
        <f>VLOOKUP(A56,[1]CPS!A55:AU239,29,FALSE)</f>
        <v>WALKER EMELEC HOYOS GIRALDO</v>
      </c>
      <c r="AJ56" s="35">
        <f>VLOOKUP(A56,[1]CPS!A55:AH239,34,FALSE)</f>
        <v>330</v>
      </c>
      <c r="AL56" s="94" t="str">
        <f>VLOOKUP(A56,[1]CPS!A55:AU239,40,FALSE)</f>
        <v>N/A</v>
      </c>
      <c r="AM56" s="95">
        <f>VLOOKUP(A56,[1]CPS!A55:AU239,44,FALSE)</f>
        <v>44587</v>
      </c>
      <c r="AN56" s="22" t="s">
        <v>78</v>
      </c>
      <c r="AO56" s="22">
        <v>0</v>
      </c>
      <c r="AP56" s="42">
        <v>0</v>
      </c>
      <c r="AQ56" s="43"/>
      <c r="AR56" s="44">
        <v>0</v>
      </c>
      <c r="AT56" s="96">
        <f>VLOOKUP(A56,[1]CPS!A55:AU239,25,FALSE)</f>
        <v>44587</v>
      </c>
      <c r="AU56" s="96">
        <f>VLOOKUP(A56,[1]CPS!A55:AU239,26,FALSE)</f>
        <v>44920</v>
      </c>
      <c r="AV56" s="97"/>
      <c r="AW56" s="22" t="s">
        <v>79</v>
      </c>
      <c r="AZ56" s="22" t="s">
        <v>79</v>
      </c>
      <c r="BA56" s="22">
        <v>0</v>
      </c>
      <c r="BE56" s="98"/>
      <c r="BF56" s="99">
        <f t="shared" si="1"/>
        <v>15532000</v>
      </c>
      <c r="BG56" s="100" t="str">
        <f>VLOOKUP(A56,[1]CPS!A55:AU239,2,FALSE)</f>
        <v>ALEJANDRO DELGADO LOZANO</v>
      </c>
      <c r="BH56" s="21" t="str">
        <f>VLOOKUP(A56,[1]CPS!A55:AU239,42,FALSE)</f>
        <v>https://www.secop.gov.co/CO1ContractsManagement/Tendering/ProcurementContractEdit/View?docUniqueIdentifier=CO1.PCCNTR.3443648</v>
      </c>
      <c r="BI56" s="22" t="s">
        <v>80</v>
      </c>
      <c r="BK56" s="51" t="str">
        <f>VLOOKUP(A56,[1]CPS!A55:AU239,33,FALSE)</f>
        <v>https://community.secop.gov.co/Public/Tendering/OpportunityDetail/Index?noticeUID=CO1.NTC.2685287&amp;isFromPublicArea=True&amp;isModal=False</v>
      </c>
      <c r="BO56" s="53" t="s">
        <v>81</v>
      </c>
    </row>
    <row r="57" spans="1:70" ht="15" customHeight="1">
      <c r="A57" s="21">
        <v>56</v>
      </c>
      <c r="B57" s="22" t="s">
        <v>137</v>
      </c>
      <c r="C57" s="23" t="s">
        <v>68</v>
      </c>
      <c r="D57" s="24" t="str">
        <f>VLOOKUP(A57,[1]CPS!A56:AG240,3,FALSE)</f>
        <v>CD-DTAM NACION-CPS No. 056 - 2022</v>
      </c>
      <c r="E57" s="25">
        <v>56</v>
      </c>
      <c r="F57" s="21" t="str">
        <f>VLOOKUP(A57,[1]CPS!A56:AG240,4,FALSE)</f>
        <v>GLORIA PATRICIA ORTIZ PINZÓN</v>
      </c>
      <c r="G57" s="90">
        <f>VLOOKUP(A57,[1]CPS!A56:AU240,43,FALSE)</f>
        <v>44585</v>
      </c>
      <c r="H57" s="21" t="str">
        <f>VLOOKUP(A57,[1]CPS!A56:AG240,9,FALSE)</f>
        <v>Prestar apoyo en el proceso contables para la generación de los estados financieros del Fonam y Nación de la Dirección Territorial Amazonía, así como el registro de las obligaciones en el SIIF Nación.</v>
      </c>
      <c r="I57" s="91" t="s">
        <v>69</v>
      </c>
      <c r="J57" s="22" t="s">
        <v>70</v>
      </c>
      <c r="K57" s="25" t="s">
        <v>71</v>
      </c>
      <c r="L57" s="21">
        <f>VLOOKUP(A57,[1]CPS!A56:AG240,16,FALSE)</f>
        <v>8822</v>
      </c>
      <c r="M57" s="21">
        <f>VLOOKUP(A57,[1]CPS!A56:AG240,18,FALSE)</f>
        <v>7522</v>
      </c>
      <c r="N57" s="29">
        <f>VLOOKUP(A57,[1]CPS!A56:AG240,19,FALSE)</f>
        <v>44585</v>
      </c>
      <c r="O57" s="21" t="str">
        <f>VLOOKUP(A57,[1]CPS!A56:AU240,46,FALSE)</f>
        <v>FORTALECIMIENTO</v>
      </c>
      <c r="P57" s="30">
        <f>VLOOKUP(A57,[1]CPS!A56:AG240,13,FALSE)</f>
        <v>2812000</v>
      </c>
      <c r="Q57" s="92">
        <f>VLOOKUP(A57,[1]CPS!A56:AG240,12,FALSE)</f>
        <v>31588133</v>
      </c>
      <c r="S57" s="22" t="s">
        <v>72</v>
      </c>
      <c r="T57" s="22" t="s">
        <v>73</v>
      </c>
      <c r="U57" s="93">
        <f>VLOOKUP(A57,[1]CPS!A56:AG240,5,FALSE)</f>
        <v>52704416</v>
      </c>
      <c r="V57" s="34" t="s">
        <v>74</v>
      </c>
      <c r="W57" s="21" t="s">
        <v>75</v>
      </c>
      <c r="X57" s="35" t="s">
        <v>71</v>
      </c>
      <c r="Y57" s="21" t="str">
        <f t="shared" si="0"/>
        <v>GLORIA PATRICIA ORTIZ PINZÓN</v>
      </c>
      <c r="Z57" s="21" t="str">
        <f>VLOOKUP(A57,[1]CPS!A56:AU240,35,FALSE)</f>
        <v>6 NO CONSTITUYÓ GARANTÍAS</v>
      </c>
      <c r="AA57" s="25" t="str">
        <f>VLOOKUP(A57,[1]CPS!A56:AU240,37,FALSE)</f>
        <v>N/A</v>
      </c>
      <c r="AB57" s="55" t="s">
        <v>71</v>
      </c>
      <c r="AC57" s="56" t="str">
        <f>VLOOKUP(A57,[1]CPS!A56:AU240,38,FALSE)</f>
        <v>N/A</v>
      </c>
      <c r="AD57" s="55" t="str">
        <f>VLOOKUP(A57,[1]CPS!A56:AU240,39,FALSE)</f>
        <v>N/A</v>
      </c>
      <c r="AE57" s="21" t="str">
        <f>VLOOKUP(A57,[1]CPS!A56:AU240,36,FALSE)</f>
        <v>Dirección Territorial Amazonía</v>
      </c>
      <c r="AF57" s="22" t="s">
        <v>77</v>
      </c>
      <c r="AG57" s="22" t="s">
        <v>73</v>
      </c>
      <c r="AH57" s="38">
        <f>VLOOKUP(A57,[1]CPS!A56:AU240,41,FALSE)</f>
        <v>41674698</v>
      </c>
      <c r="AI57" s="21" t="str">
        <f>VLOOKUP(A57,[1]CPS!A56:AU240,29,FALSE)</f>
        <v>CLAUDIA OFELIA MANRIQUE ROA</v>
      </c>
      <c r="AJ57" s="35">
        <f>VLOOKUP(A57,[1]CPS!A56:AH240,34,FALSE)</f>
        <v>337</v>
      </c>
      <c r="AL57" s="94" t="str">
        <f>VLOOKUP(A57,[1]CPS!A56:AU240,40,FALSE)</f>
        <v>N/A</v>
      </c>
      <c r="AM57" s="95">
        <f>VLOOKUP(A57,[1]CPS!A56:AU240,44,FALSE)</f>
        <v>44585</v>
      </c>
      <c r="AN57" s="22" t="s">
        <v>78</v>
      </c>
      <c r="AO57" s="22">
        <v>0</v>
      </c>
      <c r="AP57" s="42">
        <v>0</v>
      </c>
      <c r="AQ57" s="43"/>
      <c r="AR57" s="44">
        <v>0</v>
      </c>
      <c r="AT57" s="96">
        <f>VLOOKUP(A57,[1]CPS!A56:AU240,25,FALSE)</f>
        <v>44585</v>
      </c>
      <c r="AU57" s="96">
        <f>VLOOKUP(A57,[1]CPS!A56:AU240,26,FALSE)</f>
        <v>44925</v>
      </c>
      <c r="AV57" s="97"/>
      <c r="AW57" s="22" t="s">
        <v>79</v>
      </c>
      <c r="AZ57" s="22" t="s">
        <v>79</v>
      </c>
      <c r="BA57" s="22">
        <v>0</v>
      </c>
      <c r="BE57" s="98"/>
      <c r="BF57" s="99">
        <f t="shared" si="1"/>
        <v>31588133</v>
      </c>
      <c r="BG57" s="100" t="str">
        <f>VLOOKUP(A57,[1]CPS!A56:AU240,2,FALSE)</f>
        <v>LAURA CAROLINA CORREA RAMIREZ</v>
      </c>
      <c r="BH57" s="21" t="str">
        <f>VLOOKUP(A57,[1]CPS!A56:AU240,42,FALSE)</f>
        <v>https://www.secop.gov.co/CO1ContractsManagement/Tendering/ProcurementContractEdit/View?docUniqueIdentifier=CO1.PCCNTR.3389886</v>
      </c>
      <c r="BI57" s="22" t="s">
        <v>80</v>
      </c>
      <c r="BK57" s="51" t="str">
        <f>VLOOKUP(A57,[1]CPS!A56:AU240,33,FALSE)</f>
        <v>https://community.secop.gov.co/Public/Tendering/OpportunityDetail/Index?noticeUID=CO1.NTC.2685583&amp;isFromPublicArea=True&amp;isModal=False</v>
      </c>
      <c r="BO57" s="53" t="s">
        <v>81</v>
      </c>
    </row>
    <row r="58" spans="1:70" ht="15" customHeight="1">
      <c r="A58" s="21">
        <v>57</v>
      </c>
      <c r="B58" s="22" t="s">
        <v>138</v>
      </c>
      <c r="C58" s="23" t="s">
        <v>68</v>
      </c>
      <c r="D58" s="24" t="str">
        <f>VLOOKUP(A58,[1]CPS!A57:AG241,3,FALSE)</f>
        <v>CD-DTAM NACION-CPS No. 057 - 2022</v>
      </c>
      <c r="E58" s="25">
        <v>57</v>
      </c>
      <c r="F58" s="21" t="str">
        <f>VLOOKUP(A58,[1]CPS!A57:AG241,4,FALSE)</f>
        <v>EDILBERTO BECERRA CHINDOY</v>
      </c>
      <c r="G58" s="90">
        <f>VLOOKUP(A58,[1]CPS!A57:AU241,43,FALSE)</f>
        <v>44584</v>
      </c>
      <c r="H58" s="21" t="str">
        <f>VLOOKUP(A58,[1]CPS!A57:AG241,9,FALSE)</f>
        <v>Prestar apoyo técnico a la gestión operativa en los procesos de atención a situación de UOT y en el trabajo comunitario con grupos indígenas y campesinos del Parque Nacional Natural Serranía de los Churumbelos Auka Wasi</v>
      </c>
      <c r="I58" s="91" t="s">
        <v>69</v>
      </c>
      <c r="J58" s="22" t="s">
        <v>70</v>
      </c>
      <c r="K58" s="25" t="s">
        <v>71</v>
      </c>
      <c r="L58" s="21">
        <f>VLOOKUP(A58,[1]CPS!A57:AG241,16,FALSE)</f>
        <v>9522</v>
      </c>
      <c r="M58" s="21">
        <f>VLOOKUP(A58,[1]CPS!A57:AG241,18,FALSE)</f>
        <v>7622</v>
      </c>
      <c r="N58" s="29">
        <f>VLOOKUP(A58,[1]CPS!A57:AG241,19,FALSE)</f>
        <v>44585</v>
      </c>
      <c r="O58" s="21" t="str">
        <f>VLOOKUP(A58,[1]CPS!A57:AU241,46,FALSE)</f>
        <v>ADMINISTRACION</v>
      </c>
      <c r="P58" s="30">
        <f>VLOOKUP(A58,[1]CPS!A57:AG241,13,FALSE)</f>
        <v>2330000</v>
      </c>
      <c r="Q58" s="92">
        <f>VLOOKUP(A58,[1]CPS!A57:AG241,12,FALSE)</f>
        <v>25552333</v>
      </c>
      <c r="S58" s="22" t="s">
        <v>72</v>
      </c>
      <c r="T58" s="22" t="s">
        <v>73</v>
      </c>
      <c r="U58" s="93">
        <f>VLOOKUP(A58,[1]CPS!A57:AG241,5,FALSE)</f>
        <v>18129506</v>
      </c>
      <c r="V58" s="34" t="s">
        <v>74</v>
      </c>
      <c r="W58" s="21" t="s">
        <v>75</v>
      </c>
      <c r="X58" s="35" t="s">
        <v>71</v>
      </c>
      <c r="Y58" s="21" t="str">
        <f t="shared" si="0"/>
        <v>EDILBERTO BECERRA CHINDOY</v>
      </c>
      <c r="Z58" s="21" t="str">
        <f>VLOOKUP(A58,[1]CPS!A57:AU241,35,FALSE)</f>
        <v>6 NO CONSTITUYÓ GARANTÍAS</v>
      </c>
      <c r="AA58" s="25" t="str">
        <f>VLOOKUP(A58,[1]CPS!A57:AU241,37,FALSE)</f>
        <v>N/A</v>
      </c>
      <c r="AB58" s="55" t="s">
        <v>71</v>
      </c>
      <c r="AC58" s="56" t="str">
        <f>VLOOKUP(A58,[1]CPS!A57:AU241,38,FALSE)</f>
        <v>N/A</v>
      </c>
      <c r="AD58" s="55" t="str">
        <f>VLOOKUP(A58,[1]CPS!A57:AU241,39,FALSE)</f>
        <v>N/A</v>
      </c>
      <c r="AE58" s="21" t="str">
        <f>VLOOKUP(A58,[1]CPS!A57:AU241,36,FALSE)</f>
        <v>PNN Serranía de Los Churumbelos</v>
      </c>
      <c r="AF58" s="22" t="s">
        <v>77</v>
      </c>
      <c r="AG58" s="22" t="s">
        <v>73</v>
      </c>
      <c r="AH58" s="38">
        <f>VLOOKUP(A58,[1]CPS!A57:AU241,41,FALSE)</f>
        <v>19481189</v>
      </c>
      <c r="AI58" s="21" t="str">
        <f>VLOOKUP(A58,[1]CPS!A57:AU241,29,FALSE)</f>
        <v>FLABIO ARMANDO HERRERA CAICEDO</v>
      </c>
      <c r="AJ58" s="35">
        <f>VLOOKUP(A58,[1]CPS!A57:AH241,34,FALSE)</f>
        <v>329</v>
      </c>
      <c r="AL58" s="94" t="str">
        <f>VLOOKUP(A58,[1]CPS!A57:AU241,40,FALSE)</f>
        <v>N/A</v>
      </c>
      <c r="AM58" s="95">
        <f>VLOOKUP(A58,[1]CPS!A57:AU241,44,FALSE)</f>
        <v>44586</v>
      </c>
      <c r="AN58" s="22" t="s">
        <v>78</v>
      </c>
      <c r="AO58" s="22">
        <v>0</v>
      </c>
      <c r="AP58" s="42">
        <v>0</v>
      </c>
      <c r="AQ58" s="43"/>
      <c r="AR58" s="44">
        <v>0</v>
      </c>
      <c r="AT58" s="96">
        <f>VLOOKUP(A58,[1]CPS!A57:AU241,25,FALSE)</f>
        <v>44585</v>
      </c>
      <c r="AU58" s="96">
        <f>VLOOKUP(A58,[1]CPS!A57:AU241,26,FALSE)</f>
        <v>44589</v>
      </c>
      <c r="AV58" s="97"/>
      <c r="AW58" s="22" t="s">
        <v>79</v>
      </c>
      <c r="AZ58" s="22" t="s">
        <v>79</v>
      </c>
      <c r="BA58" s="22">
        <v>0</v>
      </c>
      <c r="BE58" s="98"/>
      <c r="BF58" s="99">
        <f t="shared" si="1"/>
        <v>25552333</v>
      </c>
      <c r="BG58" s="100" t="str">
        <f>VLOOKUP(A58,[1]CPS!A57:AU241,2,FALSE)</f>
        <v>NORYLY AGUIRRE OTALORA</v>
      </c>
      <c r="BH58" s="21" t="str">
        <f>VLOOKUP(A58,[1]CPS!A57:AU241,42,FALSE)</f>
        <v>https://www.secop.gov.co/CO1ContractsManagement/Tendering/ProcurementContractEdit/View?docUniqueIdentifier=CO1.PCCNTR.3380091</v>
      </c>
      <c r="BI58" s="22" t="s">
        <v>80</v>
      </c>
      <c r="BK58" s="51" t="str">
        <f>VLOOKUP(A58,[1]CPS!A57:AU241,33,FALSE)</f>
        <v>https://community.secop.gov.co/Public/Tendering/ContractNoticePhases/View?PPI=CO1.PPI.17030958&amp;isFromPublicArea=True&amp;isModal=False</v>
      </c>
      <c r="BO58" s="53" t="s">
        <v>81</v>
      </c>
    </row>
    <row r="59" spans="1:70" ht="15" customHeight="1">
      <c r="A59" s="21">
        <v>58</v>
      </c>
      <c r="B59" s="22" t="s">
        <v>139</v>
      </c>
      <c r="C59" s="23" t="s">
        <v>68</v>
      </c>
      <c r="D59" s="24" t="str">
        <f>VLOOKUP(A59,[1]CPS!A58:AG242,3,FALSE)</f>
        <v>CD-DTAM NACION-CPS No. 058 - 2022</v>
      </c>
      <c r="E59" s="25">
        <v>58</v>
      </c>
      <c r="F59" s="21" t="str">
        <f>VLOOKUP(A59,[1]CPS!A58:AG242,4,FALSE)</f>
        <v>CRISTHIAN ALFONSO PIMIENTO ORDOÑEZ</v>
      </c>
      <c r="G59" s="90">
        <f>VLOOKUP(A59,[1]CPS!A58:AU242,43,FALSE)</f>
        <v>44584</v>
      </c>
      <c r="H59" s="21" t="str">
        <f>VLOOKUP(A59,[1]CPS!A58:AG242,9,FALSE)</f>
        <v>Prestar servicios profesionales para la implementación de la estrategia de comunicación y educación ambiental, aportando a los procesos de planeación del manejo al interior del Parque Nacional Natural la Paya.</v>
      </c>
      <c r="I59" s="91" t="s">
        <v>69</v>
      </c>
      <c r="J59" s="22" t="s">
        <v>70</v>
      </c>
      <c r="K59" s="25" t="s">
        <v>71</v>
      </c>
      <c r="L59" s="21">
        <f>VLOOKUP(A59,[1]CPS!A58:AG242,16,FALSE)</f>
        <v>10222</v>
      </c>
      <c r="M59" s="21">
        <f>VLOOKUP(A59,[1]CPS!A58:AG242,18,FALSE)</f>
        <v>6822</v>
      </c>
      <c r="N59" s="29">
        <f>VLOOKUP(A59,[1]CPS!A58:AG242,19,FALSE)</f>
        <v>44584</v>
      </c>
      <c r="O59" s="21" t="str">
        <f>VLOOKUP(A59,[1]CPS!A58:AU242,46,FALSE)</f>
        <v>ADMINISTRACION</v>
      </c>
      <c r="P59" s="30">
        <f>VLOOKUP(A59,[1]CPS!A58:AG242,13,FALSE)</f>
        <v>5100000</v>
      </c>
      <c r="Q59" s="92">
        <f>VLOOKUP(A59,[1]CPS!A58:AG242,12,FALSE)</f>
        <v>55930000</v>
      </c>
      <c r="S59" s="22" t="s">
        <v>72</v>
      </c>
      <c r="T59" s="22" t="s">
        <v>73</v>
      </c>
      <c r="U59" s="93">
        <f>VLOOKUP(A59,[1]CPS!A58:AG242,5,FALSE)</f>
        <v>1075287094</v>
      </c>
      <c r="V59" s="34" t="s">
        <v>74</v>
      </c>
      <c r="W59" s="21" t="s">
        <v>75</v>
      </c>
      <c r="X59" s="35" t="s">
        <v>71</v>
      </c>
      <c r="Y59" s="21" t="str">
        <f t="shared" si="0"/>
        <v>CRISTHIAN ALFONSO PIMIENTO ORDOÑEZ</v>
      </c>
      <c r="Z59" s="21" t="str">
        <f>VLOOKUP(A59,[1]CPS!A58:AU242,35,FALSE)</f>
        <v>6 NO CONSTITUYÓ GARANTÍAS</v>
      </c>
      <c r="AA59" s="25" t="str">
        <f>VLOOKUP(A59,[1]CPS!A58:AU242,37,FALSE)</f>
        <v>N/A</v>
      </c>
      <c r="AB59" s="55" t="s">
        <v>71</v>
      </c>
      <c r="AC59" s="56" t="str">
        <f>VLOOKUP(A59,[1]CPS!A58:AU242,38,FALSE)</f>
        <v>N/A</v>
      </c>
      <c r="AD59" s="55" t="str">
        <f>VLOOKUP(A59,[1]CPS!A58:AU242,39,FALSE)</f>
        <v>N/A</v>
      </c>
      <c r="AE59" s="21" t="str">
        <f>VLOOKUP(A59,[1]CPS!A58:AU242,36,FALSE)</f>
        <v>PNN La Paya</v>
      </c>
      <c r="AF59" s="22" t="s">
        <v>77</v>
      </c>
      <c r="AG59" s="22" t="s">
        <v>73</v>
      </c>
      <c r="AH59" s="38">
        <f>VLOOKUP(A59,[1]CPS!A58:AU242,41,FALSE)</f>
        <v>93404206</v>
      </c>
      <c r="AI59" s="21" t="str">
        <f>VLOOKUP(A59,[1]CPS!A58:AU242,29,FALSE)</f>
        <v>JEFERSON ROJAS NIETO</v>
      </c>
      <c r="AJ59" s="35">
        <f>VLOOKUP(A59,[1]CPS!A58:AH242,34,FALSE)</f>
        <v>329</v>
      </c>
      <c r="AL59" s="94" t="str">
        <f>VLOOKUP(A59,[1]CPS!A58:AU242,40,FALSE)</f>
        <v>N/A</v>
      </c>
      <c r="AM59" s="95">
        <f>VLOOKUP(A59,[1]CPS!A58:AU242,44,FALSE)</f>
        <v>44585</v>
      </c>
      <c r="AN59" s="22" t="s">
        <v>78</v>
      </c>
      <c r="AO59" s="22">
        <v>0</v>
      </c>
      <c r="AP59" s="42">
        <v>0</v>
      </c>
      <c r="AQ59" s="43"/>
      <c r="AR59" s="44">
        <v>0</v>
      </c>
      <c r="AT59" s="96">
        <f>VLOOKUP(A59,[1]CPS!A58:AU242,25,FALSE)</f>
        <v>44585</v>
      </c>
      <c r="AU59" s="96">
        <f>VLOOKUP(A59,[1]CPS!A58:AU242,26,FALSE)</f>
        <v>44589</v>
      </c>
      <c r="AV59" s="97"/>
      <c r="AW59" s="22" t="s">
        <v>79</v>
      </c>
      <c r="AZ59" s="22" t="s">
        <v>79</v>
      </c>
      <c r="BA59" s="22">
        <v>0</v>
      </c>
      <c r="BE59" s="98"/>
      <c r="BF59" s="99">
        <f t="shared" si="1"/>
        <v>55930000</v>
      </c>
      <c r="BG59" s="100" t="str">
        <f>VLOOKUP(A59,[1]CPS!A58:AU242,2,FALSE)</f>
        <v>LAURA CAROLINA CORREA RAMIREZ</v>
      </c>
      <c r="BH59" s="21" t="str">
        <f>VLOOKUP(A59,[1]CPS!A58:AU242,42,FALSE)</f>
        <v>https://www.secop.gov.co/CO1ContractsManagement/Tendering/ProcurementContractEdit/View?docUniqueIdentifier=CO1.PCCNTR.3376897</v>
      </c>
      <c r="BI59" s="22" t="s">
        <v>80</v>
      </c>
      <c r="BK59" s="51" t="str">
        <f>VLOOKUP(A59,[1]CPS!A58:AU242,33,FALSE)</f>
        <v>https://community.secop.gov.co/Public/Tendering/ContractNoticePhases/View?PPI=CO1.PPI.17030958&amp;isFromPublicArea=True&amp;isModal=False</v>
      </c>
      <c r="BO59" s="53" t="s">
        <v>81</v>
      </c>
    </row>
    <row r="60" spans="1:70" ht="15" customHeight="1">
      <c r="A60" s="21">
        <v>59</v>
      </c>
      <c r="B60" s="22" t="s">
        <v>140</v>
      </c>
      <c r="C60" s="23" t="s">
        <v>68</v>
      </c>
      <c r="D60" s="24" t="str">
        <f>VLOOKUP(A60,[1]CPS!A59:AG243,3,FALSE)</f>
        <v>CD-DTAM NACION-CPS No. 059 - 2022</v>
      </c>
      <c r="E60" s="25">
        <v>59</v>
      </c>
      <c r="F60" s="21" t="str">
        <f>VLOOKUP(A60,[1]CPS!A59:AG243,4,FALSE)</f>
        <v>VIVIANA MARGOTH DELGADO RAMOS</v>
      </c>
      <c r="G60" s="90">
        <f>VLOOKUP(A60,[1]CPS!A59:AU243,43,FALSE)</f>
        <v>44584</v>
      </c>
      <c r="H60" s="21" t="str">
        <f>VLOOKUP(A60,[1]CPS!A59:AG243,9,FALSE)</f>
        <v>Prestar apoyo técnico a la gestión operativa en los procesos de Comunicación y Educación Ambiental y Prevención, Vigilancia y Control en el trabajo comunitario con grupos indígenas y campesinos del Parque Nacional Natural Serranía de los Churumbelos Auka Wasi</v>
      </c>
      <c r="I60" s="91" t="s">
        <v>69</v>
      </c>
      <c r="J60" s="22" t="s">
        <v>70</v>
      </c>
      <c r="K60" s="25" t="s">
        <v>71</v>
      </c>
      <c r="L60" s="21">
        <f>VLOOKUP(A60,[1]CPS!A59:AG243,16,FALSE)</f>
        <v>9322</v>
      </c>
      <c r="M60" s="21">
        <f>VLOOKUP(A60,[1]CPS!A59:AG243,18,FALSE)</f>
        <v>8122</v>
      </c>
      <c r="N60" s="29">
        <f>VLOOKUP(A60,[1]CPS!A59:AG243,19,FALSE)</f>
        <v>44585</v>
      </c>
      <c r="O60" s="21" t="str">
        <f>VLOOKUP(A60,[1]CPS!A59:AU243,46,FALSE)</f>
        <v>ADMINISTRACION</v>
      </c>
      <c r="P60" s="30">
        <f>VLOOKUP(A60,[1]CPS!A59:AG243,13,FALSE)</f>
        <v>2330000</v>
      </c>
      <c r="Q60" s="92">
        <f>VLOOKUP(A60,[1]CPS!A59:AG243,12,FALSE)</f>
        <v>25552333</v>
      </c>
      <c r="S60" s="22" t="s">
        <v>72</v>
      </c>
      <c r="T60" s="22" t="s">
        <v>73</v>
      </c>
      <c r="U60" s="93">
        <f>VLOOKUP(A60,[1]CPS!A59:AG243,5,FALSE)</f>
        <v>1060206323</v>
      </c>
      <c r="V60" s="34" t="s">
        <v>74</v>
      </c>
      <c r="W60" s="21" t="s">
        <v>75</v>
      </c>
      <c r="X60" s="35" t="s">
        <v>71</v>
      </c>
      <c r="Y60" s="21" t="str">
        <f t="shared" si="0"/>
        <v>VIVIANA MARGOTH DELGADO RAMOS</v>
      </c>
      <c r="Z60" s="21" t="str">
        <f>VLOOKUP(A60,[1]CPS!A59:AU243,35,FALSE)</f>
        <v>6 NO CONSTITUYÓ GARANTÍAS</v>
      </c>
      <c r="AA60" s="35" t="str">
        <f>VLOOKUP(A60,[1]CPS!A59:AU243,37,FALSE)</f>
        <v>N/A</v>
      </c>
      <c r="AB60" s="55" t="s">
        <v>71</v>
      </c>
      <c r="AC60" s="56" t="str">
        <f>VLOOKUP(A60,[1]CPS!A59:AU243,38,FALSE)</f>
        <v>N/A</v>
      </c>
      <c r="AD60" s="55" t="str">
        <f>VLOOKUP(A60,[1]CPS!A59:AU243,39,FALSE)</f>
        <v>N/A</v>
      </c>
      <c r="AE60" s="21" t="str">
        <f>VLOOKUP(A60,[1]CPS!A59:AU243,36,FALSE)</f>
        <v>PNN Serranía de Los Churumbelos</v>
      </c>
      <c r="AF60" s="22" t="s">
        <v>77</v>
      </c>
      <c r="AG60" s="22" t="s">
        <v>73</v>
      </c>
      <c r="AH60" s="38">
        <f>VLOOKUP(A60,[1]CPS!A59:AU243,41,FALSE)</f>
        <v>19481189</v>
      </c>
      <c r="AI60" s="21" t="str">
        <f>VLOOKUP(A60,[1]CPS!A59:AU243,29,FALSE)</f>
        <v>FLABIO ARMANDO HERRERA CAICEDO</v>
      </c>
      <c r="AJ60" s="35">
        <f>VLOOKUP(A60,[1]CPS!A59:AH243,34,FALSE)</f>
        <v>329</v>
      </c>
      <c r="AL60" s="94" t="str">
        <f>VLOOKUP(A60,[1]CPS!A59:AU243,40,FALSE)</f>
        <v>N/A</v>
      </c>
      <c r="AM60" s="95">
        <f>VLOOKUP(A60,[1]CPS!A59:AU243,44,FALSE)</f>
        <v>44586</v>
      </c>
      <c r="AN60" s="22" t="s">
        <v>78</v>
      </c>
      <c r="AO60" s="22">
        <v>0</v>
      </c>
      <c r="AP60" s="42">
        <v>0</v>
      </c>
      <c r="AQ60" s="43"/>
      <c r="AR60" s="44">
        <v>0</v>
      </c>
      <c r="AT60" s="96">
        <f>VLOOKUP(A60,[1]CPS!A59:AU243,25,FALSE)</f>
        <v>44584</v>
      </c>
      <c r="AU60" s="96">
        <f>VLOOKUP(A60,[1]CPS!A59:AU243,26,FALSE)</f>
        <v>44916</v>
      </c>
      <c r="AV60" s="97"/>
      <c r="AW60" s="22" t="s">
        <v>79</v>
      </c>
      <c r="AZ60" s="22" t="s">
        <v>79</v>
      </c>
      <c r="BA60" s="22">
        <v>0</v>
      </c>
      <c r="BE60" s="98"/>
      <c r="BF60" s="99">
        <f t="shared" si="1"/>
        <v>25552333</v>
      </c>
      <c r="BG60" s="100" t="str">
        <f>VLOOKUP(A60,[1]CPS!A59:AU243,2,FALSE)</f>
        <v>NORYLY AGUIRRE OTALORA</v>
      </c>
      <c r="BH60" s="21" t="str">
        <f>VLOOKUP(A60,[1]CPS!A59:AU243,42,FALSE)</f>
        <v>https://www.secop.gov.co/CO1ContractsManagement/Tendering/ProcurementContractEdit/View?docUniqueIdentifier=CO1.PCCNTR.3380401</v>
      </c>
      <c r="BI60" s="22" t="s">
        <v>80</v>
      </c>
      <c r="BK60" s="51" t="str">
        <f>VLOOKUP(A60,[1]CPS!A59:AU243,33,FALSE)</f>
        <v>https://community.secop.gov.co/Public/Tendering/OpportunityDetail/Index?noticeUID=CO1.NTC.2675094&amp;isFromPublicArea=True&amp;isModal=False</v>
      </c>
      <c r="BO60" s="53" t="s">
        <v>81</v>
      </c>
    </row>
    <row r="61" spans="1:70" ht="15" customHeight="1">
      <c r="A61" s="21">
        <v>60</v>
      </c>
      <c r="B61" s="22" t="s">
        <v>141</v>
      </c>
      <c r="C61" s="23" t="s">
        <v>68</v>
      </c>
      <c r="D61" s="24" t="str">
        <f>VLOOKUP(A61,[1]CPS!A60:AG244,3,FALSE)</f>
        <v>CD-DTAM NACION-CPS No. 060 - 2022</v>
      </c>
      <c r="E61" s="25">
        <v>60</v>
      </c>
      <c r="F61" s="21" t="str">
        <f>VLOOKUP(A61,[1]CPS!A60:AG244,4,FALSE)</f>
        <v>BORIS ANDRES HERRERA CACERES</v>
      </c>
      <c r="G61" s="90">
        <f>VLOOKUP(A61,[1]CPS!A60:AU244,43,FALSE)</f>
        <v>44584</v>
      </c>
      <c r="H61" s="21" t="str">
        <f>VLOOKUP(A61,[1]CPS!A60:AG244,9,FALSE)</f>
        <v>Prestar apoyo técnico para desarrollar actividades operativas y logísticas, presencia institucional permanente de la RNN Puinawai, en la Ciudad de Inírida.</v>
      </c>
      <c r="I61" s="91" t="s">
        <v>69</v>
      </c>
      <c r="J61" s="22" t="s">
        <v>70</v>
      </c>
      <c r="K61" s="25" t="s">
        <v>71</v>
      </c>
      <c r="L61" s="21">
        <f>VLOOKUP(A61,[1]CPS!A60:AG244,16,FALSE)</f>
        <v>10422</v>
      </c>
      <c r="M61" s="21">
        <f>VLOOKUP(A61,[1]CPS!A60:AG244,18,FALSE)</f>
        <v>7822</v>
      </c>
      <c r="N61" s="29">
        <f>VLOOKUP(A61,[1]CPS!A60:AG244,19,FALSE)</f>
        <v>44585</v>
      </c>
      <c r="O61" s="21" t="str">
        <f>VLOOKUP(A61,[1]CPS!A60:AU244,46,FALSE)</f>
        <v>ADMINISTRACION</v>
      </c>
      <c r="P61" s="30">
        <f>VLOOKUP(A61,[1]CPS!A60:AG244,13,FALSE)</f>
        <v>2812000</v>
      </c>
      <c r="Q61" s="92">
        <f>VLOOKUP(A61,[1]CPS!A60:AG244,12,FALSE)</f>
        <v>30932000</v>
      </c>
      <c r="S61" s="22" t="s">
        <v>72</v>
      </c>
      <c r="T61" s="22" t="s">
        <v>73</v>
      </c>
      <c r="U61" s="93">
        <f>VLOOKUP(A61,[1]CPS!A60:AG244,5,FALSE)</f>
        <v>1121714474</v>
      </c>
      <c r="V61" s="34" t="s">
        <v>74</v>
      </c>
      <c r="W61" s="21" t="s">
        <v>75</v>
      </c>
      <c r="X61" s="35" t="s">
        <v>71</v>
      </c>
      <c r="Y61" s="21" t="str">
        <f t="shared" si="0"/>
        <v>BORIS ANDRES HERRERA CACERES</v>
      </c>
      <c r="Z61" s="21" t="str">
        <f>VLOOKUP(A61,[1]CPS!A60:AU244,35,FALSE)</f>
        <v>6 NO CONSTITUYÓ GARANTÍAS</v>
      </c>
      <c r="AA61" s="25" t="str">
        <f>VLOOKUP(A61,[1]CPS!A60:AU244,37,FALSE)</f>
        <v>N/A</v>
      </c>
      <c r="AB61" s="55" t="s">
        <v>71</v>
      </c>
      <c r="AC61" s="56" t="str">
        <f>VLOOKUP(A61,[1]CPS!A60:AU244,38,FALSE)</f>
        <v>N/A</v>
      </c>
      <c r="AD61" s="55" t="str">
        <f>VLOOKUP(A61,[1]CPS!A60:AU244,39,FALSE)</f>
        <v>N/A</v>
      </c>
      <c r="AE61" s="21" t="str">
        <f>VLOOKUP(A61,[1]CPS!A60:AU244,14,FALSE)</f>
        <v>RNN PUINAWAI</v>
      </c>
      <c r="AF61" s="22" t="s">
        <v>77</v>
      </c>
      <c r="AG61" s="22" t="s">
        <v>73</v>
      </c>
      <c r="AH61" s="38">
        <f>VLOOKUP(A61,[1]CPS!A60:AU244,41,FALSE)</f>
        <v>19363081</v>
      </c>
      <c r="AI61" s="21" t="str">
        <f>VLOOKUP(A61,[1]CPS!A60:AU244,29,FALSE)</f>
        <v>CESAR ZÁRATE BOTTIA</v>
      </c>
      <c r="AJ61" s="35">
        <f>VLOOKUP(A61,[1]CPS!A60:AH244,34,FALSE)</f>
        <v>329</v>
      </c>
      <c r="AL61" s="94" t="str">
        <f>VLOOKUP(A61,[1]CPS!A60:AU244,40,FALSE)</f>
        <v>N/A</v>
      </c>
      <c r="AM61" s="95">
        <f>VLOOKUP(A61,[1]CPS!A60:AU244,44,FALSE)</f>
        <v>44586</v>
      </c>
      <c r="AN61" s="22" t="s">
        <v>78</v>
      </c>
      <c r="AO61" s="22">
        <v>0</v>
      </c>
      <c r="AP61" s="42">
        <v>0</v>
      </c>
      <c r="AQ61" s="43"/>
      <c r="AR61" s="44">
        <v>0</v>
      </c>
      <c r="AT61" s="96">
        <f>VLOOKUP(A61,[1]CPS!A60:AU244,25,FALSE)</f>
        <v>44585</v>
      </c>
      <c r="AU61" s="96">
        <f>VLOOKUP(A61,[1]CPS!A60:AU244,26,FALSE)</f>
        <v>44917</v>
      </c>
      <c r="AV61" s="97"/>
      <c r="AW61" s="22" t="s">
        <v>79</v>
      </c>
      <c r="AZ61" s="22" t="s">
        <v>79</v>
      </c>
      <c r="BA61" s="22">
        <v>0</v>
      </c>
      <c r="BE61" s="98"/>
      <c r="BF61" s="99">
        <f t="shared" si="1"/>
        <v>30932000</v>
      </c>
      <c r="BG61" s="100" t="str">
        <f>VLOOKUP(A61,[1]CPS!A60:AU244,2,FALSE)</f>
        <v>NORYLY AGUIRRE OTALORA</v>
      </c>
      <c r="BH61" s="21" t="str">
        <f>VLOOKUP(A61,[1]CPS!A60:AU244,42,FALSE)</f>
        <v>https://www.secop.gov.co/CO1ContractsManagement/Tendering/ProcurementContractEdit/View?docUniqueIdentifier=CO1.PCCNTR.3382055</v>
      </c>
      <c r="BI61" s="22" t="s">
        <v>80</v>
      </c>
      <c r="BK61" s="51" t="str">
        <f>VLOOKUP(A61,[1]CPS!A60:AU244,33,FALSE)</f>
        <v>https://community.secop.gov.co/Public/Tendering/ContractNoticePhases/View?PPI=CO1.PPI.17031549&amp;isFromPublicArea=True&amp;isModal=False</v>
      </c>
      <c r="BO61" s="53" t="s">
        <v>81</v>
      </c>
    </row>
    <row r="62" spans="1:70" ht="15" customHeight="1">
      <c r="A62" s="21">
        <v>61</v>
      </c>
      <c r="B62" s="22" t="s">
        <v>142</v>
      </c>
      <c r="C62" s="23" t="s">
        <v>68</v>
      </c>
      <c r="D62" s="24" t="str">
        <f>VLOOKUP(A62,[1]CPS!A61:AG245,3,FALSE)</f>
        <v>CD-DTAM NACION-CPS No. 061 - 2022_2</v>
      </c>
      <c r="E62" s="25">
        <v>61</v>
      </c>
      <c r="F62" s="21" t="str">
        <f>VLOOKUP(A62,[1]CPS!A61:AG245,4,FALSE)</f>
        <v>ANDRES GIRALDO JARAMILLO</v>
      </c>
      <c r="G62" s="90">
        <f>VLOOKUP(A62,[1]CPS!A61:AU245,43,FALSE)</f>
        <v>44587</v>
      </c>
      <c r="H62" s="21" t="str">
        <f>VLOOKUP(A62,[1]CPS!A61:AG245,9,FALSE)</f>
        <v>Prestar servicios profesionales para consolidar y fortalecer el Sistema de Información del PNN Yaigojé Apaporis, con el fin de afianzar las Prioridades Integrales de Conservación en el marco de la implementación del REM, a través del diseño del Programa Monitoreo.</v>
      </c>
      <c r="I62" s="91" t="s">
        <v>69</v>
      </c>
      <c r="J62" s="22" t="s">
        <v>70</v>
      </c>
      <c r="K62" s="25" t="s">
        <v>71</v>
      </c>
      <c r="L62" s="21">
        <f>VLOOKUP(A62,[1]CPS!A61:AG245,16,FALSE)</f>
        <v>11122</v>
      </c>
      <c r="M62" s="21">
        <f>VLOOKUP(A62,[1]CPS!A61:AG245,18,FALSE)</f>
        <v>8522</v>
      </c>
      <c r="N62" s="29">
        <f>VLOOKUP(A62,[1]CPS!A61:AG245,19,FALSE)</f>
        <v>44586</v>
      </c>
      <c r="O62" s="21" t="str">
        <f>VLOOKUP(A62,[1]CPS!A61:AU245,46,FALSE)</f>
        <v>ADMINISTRACION</v>
      </c>
      <c r="P62" s="30">
        <f>VLOOKUP(A62,[1]CPS!A61:AG245,13,FALSE)</f>
        <v>4680000</v>
      </c>
      <c r="Q62" s="92">
        <f>VLOOKUP(A62,[1]CPS!A61:AG245,12,FALSE)</f>
        <v>51324000</v>
      </c>
      <c r="S62" s="22" t="s">
        <v>72</v>
      </c>
      <c r="T62" s="22" t="s">
        <v>73</v>
      </c>
      <c r="U62" s="93">
        <f>VLOOKUP(A62,[1]CPS!A61:AG245,5,FALSE)</f>
        <v>1019061161</v>
      </c>
      <c r="V62" s="34" t="s">
        <v>74</v>
      </c>
      <c r="W62" s="21" t="s">
        <v>75</v>
      </c>
      <c r="X62" s="35" t="s">
        <v>71</v>
      </c>
      <c r="Y62" s="21" t="str">
        <f t="shared" si="0"/>
        <v>ANDRES GIRALDO JARAMILLO</v>
      </c>
      <c r="Z62" s="21" t="str">
        <f>VLOOKUP(A62,[1]CPS!A61:AU245,35,FALSE)</f>
        <v>6 NO CONSTITUYÓ GARANTÍAS</v>
      </c>
      <c r="AA62" s="25" t="str">
        <f>VLOOKUP(A62,[1]CPS!A61:AU245,37,FALSE)</f>
        <v>N/A</v>
      </c>
      <c r="AB62" s="55" t="s">
        <v>71</v>
      </c>
      <c r="AC62" s="56" t="str">
        <f>VLOOKUP(A62,[1]CPS!A61:AU245,38,FALSE)</f>
        <v>N/A</v>
      </c>
      <c r="AD62" s="55" t="str">
        <f>VLOOKUP(A62,[1]CPS!A61:AU245,39,FALSE)</f>
        <v>N/A</v>
      </c>
      <c r="AE62" s="21" t="str">
        <f>VLOOKUP(A62,[1]CPS!A61:AU245,36,FALSE)</f>
        <v>PNN Yaigojé Apaporis</v>
      </c>
      <c r="AF62" s="22" t="s">
        <v>77</v>
      </c>
      <c r="AG62" s="22" t="s">
        <v>73</v>
      </c>
      <c r="AH62" s="38">
        <f>VLOOKUP(A62,[1]CPS!A61:AU245,41,FALSE)</f>
        <v>79494598</v>
      </c>
      <c r="AI62" s="21" t="str">
        <f>VLOOKUP(A62,[1]CPS!A61:AU245,29,FALSE)</f>
        <v>EDGAR ARGEMIRO CASTRO AGUILERA</v>
      </c>
      <c r="AJ62" s="35">
        <f>VLOOKUP(A62,[1]CPS!A61:AH245,34,FALSE)</f>
        <v>330</v>
      </c>
      <c r="AL62" s="94" t="str">
        <f>VLOOKUP(A62,[1]CPS!A61:AU245,40,FALSE)</f>
        <v>N/A</v>
      </c>
      <c r="AM62" s="95">
        <f>VLOOKUP(A62,[1]CPS!A61:AU245,44,FALSE)</f>
        <v>44594</v>
      </c>
      <c r="AN62" s="22" t="s">
        <v>78</v>
      </c>
      <c r="AO62" s="22">
        <v>0</v>
      </c>
      <c r="AP62" s="42">
        <v>0</v>
      </c>
      <c r="AQ62" s="43"/>
      <c r="AR62" s="44">
        <v>0</v>
      </c>
      <c r="AT62" s="96">
        <f>VLOOKUP(A62,[1]CPS!A61:AU245,25,FALSE)</f>
        <v>44585</v>
      </c>
      <c r="AU62" s="96">
        <f>VLOOKUP(A62,[1]CPS!A61:AU245,26,FALSE)</f>
        <v>44918</v>
      </c>
      <c r="AV62" s="97"/>
      <c r="AW62" s="22" t="s">
        <v>79</v>
      </c>
      <c r="AZ62" s="22" t="s">
        <v>79</v>
      </c>
      <c r="BA62" s="22">
        <v>0</v>
      </c>
      <c r="BE62" s="98"/>
      <c r="BF62" s="99">
        <f t="shared" si="1"/>
        <v>51324000</v>
      </c>
      <c r="BG62" s="100" t="str">
        <f>VLOOKUP(A62,[1]CPS!A61:AU245,2,FALSE)</f>
        <v>NORYLY AGUIRRE OTALORA</v>
      </c>
      <c r="BH62" s="21" t="str">
        <f>VLOOKUP(A62,[1]CPS!A61:AU245,42,FALSE)</f>
        <v>https://www.secop.gov.co/CO1ContractsManagement/Tendering/ProcurementContractEdit/View?docUniqueIdentifier=CO1.PCCNTR.3434657</v>
      </c>
      <c r="BI62" s="22" t="s">
        <v>80</v>
      </c>
      <c r="BK62" s="51" t="str">
        <f>VLOOKUP(A62,[1]CPS!A61:AU245,33,FALSE)</f>
        <v>https://community.secop.gov.co/Public/Tendering/ContractNoticePhases/View?PPI=CO1.PPI.17032607&amp;isFromPublicArea=True&amp;isModal=False</v>
      </c>
      <c r="BO62" s="53" t="s">
        <v>81</v>
      </c>
    </row>
    <row r="63" spans="1:70" ht="15" customHeight="1">
      <c r="A63" s="21">
        <v>62</v>
      </c>
      <c r="B63" s="22" t="s">
        <v>143</v>
      </c>
      <c r="C63" s="23" t="s">
        <v>68</v>
      </c>
      <c r="D63" s="24" t="str">
        <f>VLOOKUP(A63,[1]CPS!A62:AG246,3,FALSE)</f>
        <v>CD-DTAM NACION-CPS No. 062 - 2022</v>
      </c>
      <c r="E63" s="25">
        <v>62</v>
      </c>
      <c r="F63" s="21" t="str">
        <f>VLOOKUP(A63,[1]CPS!A62:AG246,4,FALSE)</f>
        <v>DIEGO ANDRÉS CAICEDO ARAUJO</v>
      </c>
      <c r="G63" s="90">
        <f>VLOOKUP(A63,[1]CPS!A62:AU246,43,FALSE)</f>
        <v>44585</v>
      </c>
      <c r="H63" s="21" t="str">
        <f>VLOOKUP(A63,[1]CPS!A62:AG246,9,FALSE)</f>
        <v>Prestar servicios profesionales para la construcción e implementación del programa de monitoreo y la plataforma de investigación en el Parque Nacional Natural La Paya</v>
      </c>
      <c r="I63" s="91" t="s">
        <v>69</v>
      </c>
      <c r="J63" s="22" t="s">
        <v>70</v>
      </c>
      <c r="K63" s="25" t="s">
        <v>71</v>
      </c>
      <c r="L63" s="21">
        <f>VLOOKUP(A63,[1]CPS!A62:AG246,16,FALSE)</f>
        <v>10522</v>
      </c>
      <c r="M63" s="21">
        <f>VLOOKUP(A63,[1]CPS!A62:AG246,18,FALSE)</f>
        <v>8522</v>
      </c>
      <c r="N63" s="29">
        <f>VLOOKUP(A63,[1]CPS!A62:AG246,19,FALSE)</f>
        <v>44586</v>
      </c>
      <c r="O63" s="21" t="str">
        <f>VLOOKUP(A63,[1]CPS!A62:AU246,46,FALSE)</f>
        <v>ADMINISTRACION</v>
      </c>
      <c r="P63" s="30">
        <f>VLOOKUP(A63,[1]CPS!A62:AG246,13,FALSE)</f>
        <v>3764000</v>
      </c>
      <c r="Q63" s="92">
        <f>VLOOKUP(A63,[1]CPS!A62:AG246,12,FALSE)</f>
        <v>41278533</v>
      </c>
      <c r="S63" s="22" t="s">
        <v>72</v>
      </c>
      <c r="T63" s="22" t="s">
        <v>73</v>
      </c>
      <c r="U63" s="93">
        <f>VLOOKUP(A63,[1]CPS!A62:AG246,5,FALSE)</f>
        <v>1117524595</v>
      </c>
      <c r="V63" s="34" t="s">
        <v>74</v>
      </c>
      <c r="W63" s="21" t="s">
        <v>75</v>
      </c>
      <c r="X63" s="35" t="s">
        <v>71</v>
      </c>
      <c r="Y63" s="21" t="str">
        <f t="shared" si="0"/>
        <v>DIEGO ANDRÉS CAICEDO ARAUJO</v>
      </c>
      <c r="Z63" s="21" t="str">
        <f>VLOOKUP(A63,[1]CPS!A62:AU246,35,FALSE)</f>
        <v>6 NO CONSTITUYÓ GARANTÍAS</v>
      </c>
      <c r="AA63" s="35" t="str">
        <f>VLOOKUP(A63,[1]CPS!A62:AU246,37,FALSE)</f>
        <v>N/A</v>
      </c>
      <c r="AB63" s="55" t="s">
        <v>71</v>
      </c>
      <c r="AC63" s="56" t="str">
        <f>VLOOKUP(A63,[1]CPS!A62:AU246,38,FALSE)</f>
        <v>N/A</v>
      </c>
      <c r="AD63" s="55" t="str">
        <f>VLOOKUP(A63,[1]CPS!A62:AU246,39,FALSE)</f>
        <v>N/A</v>
      </c>
      <c r="AE63" s="21" t="str">
        <f>VLOOKUP(A63,[1]CPS!A62:AU246,36,FALSE)</f>
        <v>PNN La Paya</v>
      </c>
      <c r="AF63" s="22" t="s">
        <v>77</v>
      </c>
      <c r="AG63" s="22" t="s">
        <v>73</v>
      </c>
      <c r="AH63" s="38">
        <f>VLOOKUP(A63,[1]CPS!A62:AU246,41,FALSE)</f>
        <v>93404206</v>
      </c>
      <c r="AI63" s="21" t="str">
        <f>VLOOKUP(A63,[1]CPS!A62:AU246,29,FALSE)</f>
        <v>JEFERSON ROJAS NIETO</v>
      </c>
      <c r="AJ63" s="35">
        <f>VLOOKUP(A63,[1]CPS!A62:AH246,34,FALSE)</f>
        <v>329</v>
      </c>
      <c r="AL63" s="94" t="str">
        <f>VLOOKUP(A63,[1]CPS!A62:AU246,40,FALSE)</f>
        <v>N/A</v>
      </c>
      <c r="AM63" s="95">
        <f>VLOOKUP(A63,[1]CPS!A62:AU246,44,FALSE)</f>
        <v>44586</v>
      </c>
      <c r="AN63" s="22" t="s">
        <v>78</v>
      </c>
      <c r="AO63" s="22">
        <v>0</v>
      </c>
      <c r="AP63" s="42">
        <v>0</v>
      </c>
      <c r="AQ63" s="43"/>
      <c r="AR63" s="44">
        <v>0</v>
      </c>
      <c r="AT63" s="96">
        <f>VLOOKUP(A63,[1]CPS!A62:AU246,25,FALSE)</f>
        <v>44587</v>
      </c>
      <c r="AU63" s="96">
        <f>VLOOKUP(A63,[1]CPS!A62:AU246,26,FALSE)</f>
        <v>44919</v>
      </c>
      <c r="AV63" s="97"/>
      <c r="AW63" s="22" t="s">
        <v>79</v>
      </c>
      <c r="AZ63" s="22" t="s">
        <v>79</v>
      </c>
      <c r="BA63" s="22">
        <v>0</v>
      </c>
      <c r="BE63" s="98"/>
      <c r="BF63" s="99">
        <f t="shared" si="1"/>
        <v>41278533</v>
      </c>
      <c r="BG63" s="100" t="str">
        <f>VLOOKUP(A63,[1]CPS!A62:AU246,2,FALSE)</f>
        <v>LAURA CAROLINA CORREA RAMIREZ</v>
      </c>
      <c r="BH63" s="21" t="str">
        <f>VLOOKUP(A63,[1]CPS!A62:AU246,42,FALSE)</f>
        <v>https://www.secop.gov.co/CO1ContractsManagement/Tendering/ProcurementContractEdit/View?docUniqueIdentifier=CO1.PCCNTR.3403252</v>
      </c>
      <c r="BI63" s="22" t="s">
        <v>80</v>
      </c>
      <c r="BK63" s="51" t="str">
        <f>VLOOKUP(A63,[1]CPS!A62:AU246,33,FALSE)</f>
        <v>https://community.secop.gov.co/Public/Tendering/ContractNoticePhases/View?PPI=CO1.PPI.17166922&amp;isFromPublicArea=True&amp;isModal=False</v>
      </c>
      <c r="BO63" s="53" t="s">
        <v>81</v>
      </c>
    </row>
    <row r="64" spans="1:70" ht="15" customHeight="1">
      <c r="A64" s="21">
        <v>63</v>
      </c>
      <c r="B64" s="22" t="s">
        <v>144</v>
      </c>
      <c r="C64" s="23" t="s">
        <v>68</v>
      </c>
      <c r="D64" s="24" t="str">
        <f>VLOOKUP(A64,[1]CPS!A63:AG247,3,FALSE)</f>
        <v>CD-DTAM NACION-CPS No. 063 - 2022</v>
      </c>
      <c r="E64" s="25">
        <v>63</v>
      </c>
      <c r="F64" s="21" t="str">
        <f>VLOOKUP(A64,[1]CPS!A63:AG247,4,FALSE)</f>
        <v>MICHAEL AUDITH BARBOSA RAMIREZ</v>
      </c>
      <c r="G64" s="90">
        <f>VLOOKUP(A64,[1]CPS!A63:AU247,43,FALSE)</f>
        <v>44585</v>
      </c>
      <c r="H64" s="21" t="str">
        <f>VLOOKUP(A64,[1]CPS!A63:AG247,9,FALSE)</f>
        <v>Prestación de servicios de un Operario (Experto Local) campesino en el área operativa como apoyo a la gestión relacionada con el fortalecimiento del proceso de Uso Ocupación y Tenencia y Ordenamiento Ambiental que se adelanta en el Área Protegida.</v>
      </c>
      <c r="I64" s="91" t="s">
        <v>69</v>
      </c>
      <c r="J64" s="22" t="s">
        <v>70</v>
      </c>
      <c r="K64" s="25" t="s">
        <v>71</v>
      </c>
      <c r="L64" s="21">
        <f>VLOOKUP(A64,[1]CPS!A63:AG247,16,FALSE)</f>
        <v>10822</v>
      </c>
      <c r="M64" s="21">
        <f>VLOOKUP(A64,[1]CPS!A63:AG247,18,FALSE)</f>
        <v>9322</v>
      </c>
      <c r="N64" s="29">
        <f>VLOOKUP(A64,[1]CPS!A63:AG247,19,FALSE)</f>
        <v>44586</v>
      </c>
      <c r="O64" s="21" t="str">
        <f>VLOOKUP(A64,[1]CPS!A63:AU247,46,FALSE)</f>
        <v>ADMINISTRACION</v>
      </c>
      <c r="P64" s="30">
        <f>VLOOKUP(A64,[1]CPS!A63:AG247,13,FALSE)</f>
        <v>1412000</v>
      </c>
      <c r="Q64" s="92">
        <f>VLOOKUP(A64,[1]CPS!A63:AG247,12,FALSE)</f>
        <v>15532000</v>
      </c>
      <c r="S64" s="22" t="s">
        <v>72</v>
      </c>
      <c r="T64" s="22" t="s">
        <v>73</v>
      </c>
      <c r="U64" s="93">
        <f>VLOOKUP(A64,[1]CPS!A63:AG247,5,FALSE)</f>
        <v>1118203589</v>
      </c>
      <c r="V64" s="34" t="s">
        <v>74</v>
      </c>
      <c r="W64" s="21" t="s">
        <v>75</v>
      </c>
      <c r="X64" s="35" t="s">
        <v>71</v>
      </c>
      <c r="Y64" s="21" t="str">
        <f t="shared" si="0"/>
        <v>MICHAEL AUDITH BARBOSA RAMIREZ</v>
      </c>
      <c r="Z64" s="21" t="str">
        <f>VLOOKUP(A64,[1]CPS!A63:AU247,35,FALSE)</f>
        <v>6 NO CONSTITUYÓ GARANTÍAS</v>
      </c>
      <c r="AA64" s="25" t="str">
        <f>VLOOKUP(A64,[1]CPS!A63:AU247,37,FALSE)</f>
        <v>N/A</v>
      </c>
      <c r="AB64" s="55" t="s">
        <v>71</v>
      </c>
      <c r="AC64" s="56" t="str">
        <f>VLOOKUP(A64,[1]CPS!A63:AU247,38,FALSE)</f>
        <v>N/A</v>
      </c>
      <c r="AD64" s="55" t="str">
        <f>VLOOKUP(A64,[1]CPS!A63:AU247,39,FALSE)</f>
        <v>N/A</v>
      </c>
      <c r="AE64" s="21" t="str">
        <f>VLOOKUP(A64,[1]CPS!A63:AU247,36,FALSE)</f>
        <v>RNN Nukak</v>
      </c>
      <c r="AF64" s="22" t="s">
        <v>77</v>
      </c>
      <c r="AG64" s="22" t="s">
        <v>73</v>
      </c>
      <c r="AH64" s="38">
        <f>VLOOKUP(A64,[1]CPS!A63:AU247,41,FALSE)</f>
        <v>86014797</v>
      </c>
      <c r="AI64" s="21" t="str">
        <f>VLOOKUP(A64,[1]CPS!A63:AU247,29,FALSE)</f>
        <v>VICTOR SETINA</v>
      </c>
      <c r="AJ64" s="35">
        <f>VLOOKUP(A64,[1]CPS!A63:AH247,34,FALSE)</f>
        <v>329</v>
      </c>
      <c r="AL64" s="94" t="str">
        <f>VLOOKUP(A64,[1]CPS!A63:AU247,40,FALSE)</f>
        <v>N/A</v>
      </c>
      <c r="AM64" s="95">
        <f>VLOOKUP(A64,[1]CPS!A63:AU247,44,FALSE)</f>
        <v>44586</v>
      </c>
      <c r="AN64" s="22" t="s">
        <v>78</v>
      </c>
      <c r="AO64" s="22">
        <v>0</v>
      </c>
      <c r="AP64" s="42">
        <v>0</v>
      </c>
      <c r="AQ64" s="43"/>
      <c r="AR64" s="44">
        <v>0</v>
      </c>
      <c r="AT64" s="96">
        <f>VLOOKUP(A64,[1]CPS!A63:AU247,25,FALSE)</f>
        <v>44586</v>
      </c>
      <c r="AU64" s="96">
        <f>VLOOKUP(A64,[1]CPS!A63:AU247,26,FALSE)</f>
        <v>44918</v>
      </c>
      <c r="AV64" s="97"/>
      <c r="AW64" s="22" t="s">
        <v>79</v>
      </c>
      <c r="AZ64" s="22" t="s">
        <v>79</v>
      </c>
      <c r="BA64" s="22">
        <v>0</v>
      </c>
      <c r="BE64" s="98"/>
      <c r="BF64" s="99">
        <f t="shared" si="1"/>
        <v>15532000</v>
      </c>
      <c r="BG64" s="100" t="str">
        <f>VLOOKUP(A64,[1]CPS!A63:AU247,2,FALSE)</f>
        <v>NORYLY AGUIRRE OTALORA</v>
      </c>
      <c r="BH64" s="21" t="str">
        <f>VLOOKUP(A64,[1]CPS!A63:AU247,42,FALSE)</f>
        <v>https://www.secop.gov.co/CO1ContractsManagement/Tendering/ProcurementContractEdit/View?docUniqueIdentifier=CO1.PCCNTR.3403555</v>
      </c>
      <c r="BI64" s="22" t="s">
        <v>80</v>
      </c>
      <c r="BK64" s="51" t="str">
        <f>VLOOKUP(A64,[1]CPS!A63:AU247,33,FALSE)</f>
        <v>https://community.secop.gov.co/Public/Tendering/OpportunityDetail/Index?noticeUID=CO1.NTC.2697631&amp;isFromPublicArea=True&amp;isModal=False</v>
      </c>
      <c r="BO64" s="53" t="s">
        <v>81</v>
      </c>
    </row>
    <row r="65" spans="1:67" ht="15" customHeight="1">
      <c r="A65" s="21">
        <v>64</v>
      </c>
      <c r="B65" s="22" t="s">
        <v>145</v>
      </c>
      <c r="C65" s="23" t="s">
        <v>68</v>
      </c>
      <c r="D65" s="24" t="str">
        <f>VLOOKUP(A65,[1]CPS!A64:AG248,3,FALSE)</f>
        <v>CD-DTAM NACION-CPS No. 064 - 2022</v>
      </c>
      <c r="E65" s="25">
        <v>64</v>
      </c>
      <c r="F65" s="21" t="str">
        <f>VLOOKUP(A65,[1]CPS!A64:AG248,4,FALSE)</f>
        <v>REINALDO CUELLAR CARVAJAL</v>
      </c>
      <c r="G65" s="90">
        <f>VLOOKUP(A65,[1]CPS!A64:AU248,43,FALSE)</f>
        <v>44585</v>
      </c>
      <c r="H65" s="21" t="str">
        <f>VLOOKUP(A65,[1]CPS!A64:AG248,9,FALSE)</f>
        <v>Prestar apoyo operativo en la gestión del PNN Río Puré y su zona de influencia sector sur (áreas no municipalizadas de Tarapacá y Puerto Arica).</v>
      </c>
      <c r="I65" s="91" t="s">
        <v>69</v>
      </c>
      <c r="J65" s="22" t="s">
        <v>70</v>
      </c>
      <c r="K65" s="25" t="s">
        <v>71</v>
      </c>
      <c r="L65" s="21">
        <f>VLOOKUP(A65,[1]CPS!A64:AG248,16,FALSE)</f>
        <v>4122</v>
      </c>
      <c r="M65" s="21">
        <f>VLOOKUP(A65,[1]CPS!A64:AG248,18,FALSE)</f>
        <v>7922</v>
      </c>
      <c r="N65" s="29">
        <f>VLOOKUP(A65,[1]CPS!A64:AG248,19,FALSE)</f>
        <v>44585</v>
      </c>
      <c r="O65" s="21" t="str">
        <f>VLOOKUP(A65,[1]CPS!A64:AU248,46,FALSE)</f>
        <v>ADMINISTRACION</v>
      </c>
      <c r="P65" s="30">
        <f>VLOOKUP(A65,[1]CPS!A64:AG248,13,FALSE)</f>
        <v>1412000</v>
      </c>
      <c r="Q65" s="92">
        <f>VLOOKUP(A65,[1]CPS!A64:AG248,12,FALSE)</f>
        <v>15532000</v>
      </c>
      <c r="S65" s="22" t="s">
        <v>72</v>
      </c>
      <c r="T65" s="22" t="s">
        <v>73</v>
      </c>
      <c r="U65" s="93">
        <f>VLOOKUP(A65,[1]CPS!A64:AG248,5,FALSE)</f>
        <v>1121202032</v>
      </c>
      <c r="V65" s="34" t="s">
        <v>74</v>
      </c>
      <c r="W65" s="21" t="s">
        <v>75</v>
      </c>
      <c r="X65" s="35" t="s">
        <v>71</v>
      </c>
      <c r="Y65" s="21" t="str">
        <f t="shared" si="0"/>
        <v>REINALDO CUELLAR CARVAJAL</v>
      </c>
      <c r="Z65" s="21" t="str">
        <f>VLOOKUP(A65,[1]CPS!A64:AU248,35,FALSE)</f>
        <v>6 NO CONSTITUYÓ GARANTÍAS</v>
      </c>
      <c r="AA65" s="25" t="str">
        <f>VLOOKUP(A65,[1]CPS!A64:AU248,37,FALSE)</f>
        <v>N/A</v>
      </c>
      <c r="AB65" s="55" t="s">
        <v>71</v>
      </c>
      <c r="AC65" s="56" t="str">
        <f>VLOOKUP(A65,[1]CPS!A64:AU248,38,FALSE)</f>
        <v>N/A</v>
      </c>
      <c r="AD65" s="55" t="str">
        <f>VLOOKUP(A65,[1]CPS!A64:AU248,39,FALSE)</f>
        <v>N/A</v>
      </c>
      <c r="AE65" s="21" t="str">
        <f>VLOOKUP(A65,[1]CPS!A64:AU248,36,FALSE)</f>
        <v>PNN Río Puré</v>
      </c>
      <c r="AF65" s="22" t="s">
        <v>77</v>
      </c>
      <c r="AG65" s="22" t="s">
        <v>73</v>
      </c>
      <c r="AH65" s="38">
        <f>VLOOKUP(A65,[1]CPS!A64:AU248,41,FALSE)</f>
        <v>79672176</v>
      </c>
      <c r="AI65" s="21" t="str">
        <f>VLOOKUP(A65,[1]CPS!A64:AU248,29,FALSE)</f>
        <v>ALEXANDER ALFONSO SEGURA</v>
      </c>
      <c r="AJ65" s="35">
        <f>VLOOKUP(A65,[1]CPS!A64:AH248,34,FALSE)</f>
        <v>330</v>
      </c>
      <c r="AL65" s="94" t="str">
        <f>VLOOKUP(A65,[1]CPS!A64:AU248,40,FALSE)</f>
        <v>N/A</v>
      </c>
      <c r="AM65" s="95">
        <f>VLOOKUP(A65,[1]CPS!A64:AU248,44,FALSE)</f>
        <v>44585</v>
      </c>
      <c r="AN65" s="22" t="s">
        <v>78</v>
      </c>
      <c r="AO65" s="22">
        <v>0</v>
      </c>
      <c r="AP65" s="42">
        <v>0</v>
      </c>
      <c r="AQ65" s="43"/>
      <c r="AR65" s="44">
        <v>0</v>
      </c>
      <c r="AT65" s="96">
        <f>VLOOKUP(A65,[1]CPS!A64:AU248,25,FALSE)</f>
        <v>44586</v>
      </c>
      <c r="AU65" s="96">
        <f>VLOOKUP(A65,[1]CPS!A64:AU248,26,FALSE)</f>
        <v>44919</v>
      </c>
      <c r="AV65" s="97"/>
      <c r="AW65" s="22" t="s">
        <v>79</v>
      </c>
      <c r="AZ65" s="22" t="s">
        <v>79</v>
      </c>
      <c r="BA65" s="22">
        <v>0</v>
      </c>
      <c r="BE65" s="98"/>
      <c r="BF65" s="99">
        <f t="shared" si="1"/>
        <v>15532000</v>
      </c>
      <c r="BG65" s="100" t="str">
        <f>VLOOKUP(A65,[1]CPS!A64:AU248,2,FALSE)</f>
        <v>CAROL ANGELICA CERCADO</v>
      </c>
      <c r="BH65" s="21" t="str">
        <f>VLOOKUP(A65,[1]CPS!A64:AU248,42,FALSE)</f>
        <v>https://www.secop.gov.co/CO1ContractsManagement/Tendering/ProcurementContractEdit/View?docUniqueIdentifier=CO1.PCCNTR.3392701</v>
      </c>
      <c r="BI65" s="22" t="s">
        <v>80</v>
      </c>
      <c r="BK65" s="51" t="str">
        <f>VLOOKUP(A65,[1]CPS!A64:AU248,33,FALSE)</f>
        <v>https://community.secop.gov.co/Public/Tendering/ContractNoticePhases/View?PPI=CO1.PPI.17051591&amp;isFromPublicArea=True&amp;isModal=False</v>
      </c>
      <c r="BO65" s="53" t="s">
        <v>81</v>
      </c>
    </row>
    <row r="66" spans="1:67" ht="15" customHeight="1">
      <c r="A66" s="21">
        <v>65</v>
      </c>
      <c r="B66" s="22" t="s">
        <v>146</v>
      </c>
      <c r="C66" s="23" t="s">
        <v>68</v>
      </c>
      <c r="D66" s="24" t="str">
        <f>VLOOKUP(A66,[1]CPS!A65:AG249,3,FALSE)</f>
        <v>CD-DTAM NACION-CPS No. 065 - 2022</v>
      </c>
      <c r="E66" s="25">
        <v>65</v>
      </c>
      <c r="F66" s="21" t="str">
        <f>VLOOKUP(A66,[1]CPS!A65:AG249,4,FALSE)</f>
        <v>EDUAR DUVAN QUETA CRIOLLO</v>
      </c>
      <c r="G66" s="90">
        <f>VLOOKUP(A66,[1]CPS!A65:AU249,43,FALSE)</f>
        <v>44587</v>
      </c>
      <c r="H66" s="21" t="str">
        <f>VLOOKUP(A66,[1]CPS!A65:AG249,9,FALSE)</f>
        <v>Prestar apoyo como operario para la realización de actividades de Prevención, Vigilancia y Control del SF PMOIA, en articulación con las autoridades tradicionales de los resguardos de Yarinal San Marcelino, Santa Rosa del Guamuez o Campoalegre del Afilador</v>
      </c>
      <c r="I66" s="91" t="s">
        <v>69</v>
      </c>
      <c r="J66" s="22" t="s">
        <v>70</v>
      </c>
      <c r="K66" s="25" t="s">
        <v>71</v>
      </c>
      <c r="L66" s="21">
        <f>VLOOKUP(A66,[1]CPS!A65:AG249,16,FALSE)</f>
        <v>12322</v>
      </c>
      <c r="M66" s="21">
        <f>VLOOKUP(A66,[1]CPS!A65:AG249,18,FALSE)</f>
        <v>11922</v>
      </c>
      <c r="N66" s="29">
        <f>VLOOKUP(A66,[1]CPS!A65:AG249,19,FALSE)</f>
        <v>44587</v>
      </c>
      <c r="O66" s="21" t="str">
        <f>VLOOKUP(A66,[1]CPS!A65:AU249,46,FALSE)</f>
        <v>ADMINISTRACION</v>
      </c>
      <c r="P66" s="30">
        <f>VLOOKUP(A66,[1]CPS!A65:AG249,13,FALSE)</f>
        <v>1412000</v>
      </c>
      <c r="Q66" s="92">
        <f>VLOOKUP(A66,[1]CPS!A65:AG249,12,FALSE)</f>
        <v>15532000</v>
      </c>
      <c r="S66" s="22" t="s">
        <v>72</v>
      </c>
      <c r="T66" s="22" t="s">
        <v>73</v>
      </c>
      <c r="U66" s="93">
        <f>VLOOKUP(A66,[1]CPS!A65:AG249,5,FALSE)</f>
        <v>1126449637</v>
      </c>
      <c r="V66" s="34" t="s">
        <v>74</v>
      </c>
      <c r="W66" s="21" t="s">
        <v>75</v>
      </c>
      <c r="X66" s="35" t="s">
        <v>71</v>
      </c>
      <c r="Y66" s="21" t="str">
        <f t="shared" ref="Y66:Y110" si="2">F66</f>
        <v>EDUAR DUVAN QUETA CRIOLLO</v>
      </c>
      <c r="Z66" s="21" t="str">
        <f>VLOOKUP(A66,[1]CPS!A65:AU249,35,FALSE)</f>
        <v>6 NO CONSTITUYÓ GARANTÍAS</v>
      </c>
      <c r="AA66" s="25" t="str">
        <f>VLOOKUP(A66,[1]CPS!A65:AU249,37,FALSE)</f>
        <v>N/A</v>
      </c>
      <c r="AB66" s="55" t="s">
        <v>71</v>
      </c>
      <c r="AC66" s="56" t="str">
        <f>VLOOKUP(A66,[1]CPS!A65:AU249,38,FALSE)</f>
        <v>N/A</v>
      </c>
      <c r="AD66" s="55" t="str">
        <f>VLOOKUP(A66,[1]CPS!A65:AU249,39,FALSE)</f>
        <v>N/A</v>
      </c>
      <c r="AE66" s="21" t="str">
        <f>VLOOKUP(A66,[1]CPS!A65:AU249,36,FALSE)</f>
        <v>SF Plantas Medicinales Orito Ingi-Ande</v>
      </c>
      <c r="AF66" s="22" t="s">
        <v>77</v>
      </c>
      <c r="AG66" s="22" t="s">
        <v>73</v>
      </c>
      <c r="AH66" s="38">
        <f>VLOOKUP(A66,[1]CPS!A65:AU249,41,FALSE)</f>
        <v>71114184</v>
      </c>
      <c r="AI66" s="21" t="str">
        <f>VLOOKUP(A66,[1]CPS!A65:AU249,29,FALSE)</f>
        <v>WALKER EMELEC HOYOS GIRALDO</v>
      </c>
      <c r="AJ66" s="35">
        <f>VLOOKUP(A66,[1]CPS!A65:AH249,34,FALSE)</f>
        <v>330</v>
      </c>
      <c r="AL66" s="94" t="str">
        <f>VLOOKUP(A66,[1]CPS!A65:AU249,40,FALSE)</f>
        <v>N/A</v>
      </c>
      <c r="AM66" s="95">
        <f>VLOOKUP(A66,[1]CPS!A65:AU249,44,FALSE)</f>
        <v>44587</v>
      </c>
      <c r="AN66" s="22" t="s">
        <v>78</v>
      </c>
      <c r="AO66" s="22">
        <v>0</v>
      </c>
      <c r="AP66" s="42">
        <v>0</v>
      </c>
      <c r="AQ66" s="43"/>
      <c r="AR66" s="44">
        <v>0</v>
      </c>
      <c r="AT66" s="96">
        <f>VLOOKUP(A66,[1]CPS!A65:AU249,25,FALSE)</f>
        <v>44585</v>
      </c>
      <c r="AU66" s="96">
        <f>VLOOKUP(A66,[1]CPS!A65:AU249,26,FALSE)</f>
        <v>44919</v>
      </c>
      <c r="AV66" s="97"/>
      <c r="AW66" s="22" t="s">
        <v>79</v>
      </c>
      <c r="AZ66" s="22" t="s">
        <v>79</v>
      </c>
      <c r="BA66" s="22">
        <v>0</v>
      </c>
      <c r="BE66" s="98"/>
      <c r="BF66" s="99">
        <f t="shared" ref="BF66:BF108" si="3">Q66+AP66</f>
        <v>15532000</v>
      </c>
      <c r="BG66" s="100" t="str">
        <f>VLOOKUP(A66,[1]CPS!A65:AU249,2,FALSE)</f>
        <v>ALEJANDRO DELGADO LOZANO</v>
      </c>
      <c r="BH66" s="21" t="str">
        <f>VLOOKUP(A66,[1]CPS!A65:AU249,42,FALSE)</f>
        <v>https://www.secop.gov.co/CO1ContractsManagement/Tendering/ProcurementContractEdit/View?docUniqueIdentifier=CO1.PCCNTR.3447388</v>
      </c>
      <c r="BI66" s="22" t="s">
        <v>80</v>
      </c>
      <c r="BK66" s="51" t="str">
        <f>VLOOKUP(A66,[1]CPS!A65:AU249,33,FALSE)</f>
        <v>https://www.secop.gov.co/CO1ContractsManagement/Tendering/ProcurementContractEdit/View?docUniqueIdentifier=CO1.PCCNTR.3392701&amp;awardUniqueIdentifier=&amp;buyerDossierUniqueIdentifier=CO1.BDOS.2683490&amp;id=1648542&amp;prevCtxUrl=https%3a%2f%2fwww.secop.gov.co%2fCO1BusinessLine%2fTendering%2fBuyerDossierWorkspace%2fIndex%3fsortingState%3dLastModifiedDESC%26showAdvancedSearch%3dFalse%26showAdvancedSearchFields%3dFalse%26selectedDossier%3dCO1.BDOS.2683490%26selectedRequest%3dCO1.REQ.2760784%26&amp;prevCtxLbl=Procesos+de+la+Entidad+Estatal</v>
      </c>
      <c r="BO66" s="53" t="s">
        <v>81</v>
      </c>
    </row>
    <row r="67" spans="1:67" ht="15" customHeight="1">
      <c r="A67" s="21">
        <v>66</v>
      </c>
      <c r="B67" s="22" t="s">
        <v>147</v>
      </c>
      <c r="C67" s="23" t="s">
        <v>68</v>
      </c>
      <c r="D67" s="24" t="str">
        <f>VLOOKUP(A67,[1]CPS!A66:AG250,3,FALSE)</f>
        <v>CD-DTAM NACION-CPS No. 066 - 2022</v>
      </c>
      <c r="E67" s="25">
        <v>66</v>
      </c>
      <c r="F67" s="21" t="str">
        <f>VLOOKUP(A67,[1]CPS!A66:AG250,4,FALSE)</f>
        <v>NESTOR MOISES SUPELANO CHUÑA</v>
      </c>
      <c r="G67" s="90">
        <f>VLOOKUP(A67,[1]CPS!A66:AU250,43,FALSE)</f>
        <v>44585</v>
      </c>
      <c r="H67" s="21" t="str">
        <f>VLOOKUP(A67,[1]CPS!A66:AG250,9,FALSE)</f>
        <v>Prestar apoyo técnico en la gestión del PNN Río Puré y su zona de influencia sector sur (Tarapacá y Puerto Arica), en la implementación de la estrategia nacional de educación ambiental y comunicaciones de PNNC.</v>
      </c>
      <c r="I67" s="91" t="s">
        <v>69</v>
      </c>
      <c r="J67" s="22" t="s">
        <v>70</v>
      </c>
      <c r="K67" s="25" t="s">
        <v>71</v>
      </c>
      <c r="L67" s="21">
        <f>VLOOKUP(A67,[1]CPS!A66:AG250,16,FALSE)</f>
        <v>4422</v>
      </c>
      <c r="M67" s="21">
        <f>VLOOKUP(A67,[1]CPS!A66:AG250,18,FALSE)</f>
        <v>8322</v>
      </c>
      <c r="N67" s="29">
        <f>VLOOKUP(A67,[1]CPS!A66:AG250,19,FALSE)</f>
        <v>44586</v>
      </c>
      <c r="O67" s="21" t="str">
        <f>VLOOKUP(A67,[1]CPS!A66:AU250,46,FALSE)</f>
        <v>ADMINISTRACION</v>
      </c>
      <c r="P67" s="30">
        <f>VLOOKUP(A67,[1]CPS!A66:AG250,13,FALSE)</f>
        <v>2330000</v>
      </c>
      <c r="Q67" s="92">
        <f>VLOOKUP(A67,[1]CPS!A66:AG250,12,FALSE)</f>
        <v>25552333</v>
      </c>
      <c r="S67" s="22" t="s">
        <v>72</v>
      </c>
      <c r="T67" s="22" t="s">
        <v>73</v>
      </c>
      <c r="U67" s="93">
        <f>VLOOKUP(A67,[1]CPS!A66:AG250,5,FALSE)</f>
        <v>6567970</v>
      </c>
      <c r="V67" s="34" t="s">
        <v>74</v>
      </c>
      <c r="W67" s="21" t="s">
        <v>75</v>
      </c>
      <c r="X67" s="35" t="s">
        <v>71</v>
      </c>
      <c r="Y67" s="21" t="str">
        <f t="shared" si="2"/>
        <v>NESTOR MOISES SUPELANO CHUÑA</v>
      </c>
      <c r="Z67" s="21" t="str">
        <f>VLOOKUP(A67,[1]CPS!A66:AU250,35,FALSE)</f>
        <v>6 NO CONSTITUYÓ GARANTÍAS</v>
      </c>
      <c r="AA67" s="25" t="str">
        <f>VLOOKUP(A67,[1]CPS!A66:AU250,37,FALSE)</f>
        <v>N/A</v>
      </c>
      <c r="AB67" s="55" t="s">
        <v>71</v>
      </c>
      <c r="AC67" s="56" t="str">
        <f>VLOOKUP(A67,[1]CPS!A66:AU250,38,FALSE)</f>
        <v>N/A</v>
      </c>
      <c r="AD67" s="55" t="str">
        <f>VLOOKUP(A67,[1]CPS!A66:AU250,39,FALSE)</f>
        <v>N/A</v>
      </c>
      <c r="AE67" s="21" t="str">
        <f>VLOOKUP(A67,[1]CPS!A66:AU250,36,FALSE)</f>
        <v>PNN Río Puré</v>
      </c>
      <c r="AF67" s="22" t="s">
        <v>77</v>
      </c>
      <c r="AG67" s="22" t="s">
        <v>73</v>
      </c>
      <c r="AH67" s="38">
        <f>VLOOKUP(A67,[1]CPS!A66:AU250,41,FALSE)</f>
        <v>79672176</v>
      </c>
      <c r="AI67" s="21" t="str">
        <f>VLOOKUP(A67,[1]CPS!A66:AU250,29,FALSE)</f>
        <v>ALEXANDER ALFONSO SEGURA</v>
      </c>
      <c r="AJ67" s="35">
        <f>VLOOKUP(A67,[1]CPS!A66:AH250,34,FALSE)</f>
        <v>330</v>
      </c>
      <c r="AL67" s="94" t="str">
        <f>VLOOKUP(A67,[1]CPS!A66:AU250,40,FALSE)</f>
        <v>N/A</v>
      </c>
      <c r="AM67" s="95">
        <f>VLOOKUP(A67,[1]CPS!A66:AU250,44,FALSE)</f>
        <v>44586</v>
      </c>
      <c r="AN67" s="22" t="s">
        <v>78</v>
      </c>
      <c r="AO67" s="22">
        <v>0</v>
      </c>
      <c r="AP67" s="42">
        <v>0</v>
      </c>
      <c r="AQ67" s="43"/>
      <c r="AR67" s="44">
        <v>0</v>
      </c>
      <c r="AT67" s="96">
        <f>VLOOKUP(A67,[1]CPS!A66:AU250,25,FALSE)</f>
        <v>44587</v>
      </c>
      <c r="AU67" s="96">
        <f>VLOOKUP(A67,[1]CPS!A66:AU250,26,FALSE)</f>
        <v>44920</v>
      </c>
      <c r="AV67" s="97"/>
      <c r="AW67" s="22" t="s">
        <v>79</v>
      </c>
      <c r="AZ67" s="22" t="s">
        <v>79</v>
      </c>
      <c r="BA67" s="22">
        <v>0</v>
      </c>
      <c r="BE67" s="98"/>
      <c r="BF67" s="99">
        <f t="shared" si="3"/>
        <v>25552333</v>
      </c>
      <c r="BG67" s="100" t="str">
        <f>VLOOKUP(A67,[1]CPS!A66:AU250,2,FALSE)</f>
        <v>CAROL ANGELICA CERCADO</v>
      </c>
      <c r="BH67" s="21" t="str">
        <f>VLOOKUP(A67,[1]CPS!A66:AU250,42,FALSE)</f>
        <v>https://www.secop.gov.co/CO1ContractsManagement/Tendering/ProcurementContractEdit/View?docUniqueIdentifier=CO1.PCCNTR.3397309</v>
      </c>
      <c r="BI67" s="22" t="s">
        <v>80</v>
      </c>
      <c r="BK67" s="51" t="str">
        <f>VLOOKUP(A67,[1]CPS!A66:AU250,33,FALSE)</f>
        <v>https://community.secop.gov.co/Public/Tendering/OpportunityDetail/Index?noticeUID=CO1.NTC.2685638&amp;isFromPublicArea=True&amp;isModal=False</v>
      </c>
      <c r="BO67" s="53" t="s">
        <v>81</v>
      </c>
    </row>
    <row r="68" spans="1:67" ht="15" customHeight="1">
      <c r="A68" s="21">
        <v>67</v>
      </c>
      <c r="B68" s="22" t="s">
        <v>148</v>
      </c>
      <c r="C68" s="23" t="s">
        <v>68</v>
      </c>
      <c r="D68" s="24" t="str">
        <f>VLOOKUP(A68,[1]CPS!A67:AG251,3,FALSE)</f>
        <v>CD-DTAM NACION-CPS No. 067 - 2022</v>
      </c>
      <c r="E68" s="25">
        <v>67</v>
      </c>
      <c r="F68" s="21" t="str">
        <f>VLOOKUP(A68,[1]CPS!A67:AG251,4,FALSE)</f>
        <v>RUBI NEYI MENDEZ YEPES</v>
      </c>
      <c r="G68" s="90">
        <f>VLOOKUP(A68,[1]CPS!A67:AU251,43,FALSE)</f>
        <v>44586</v>
      </c>
      <c r="H68" s="21" t="str">
        <f>VLOOKUP(A68,[1]CPS!A67:AG251,9,FALSE)</f>
        <v>Prestar apoyo técnico en la gestión del PNN Río Puré y su zona de influencia sector norte (La Pedrera), en la implementación de la estrategia nacional de educación ambiental y comunicaciones de PNN.</v>
      </c>
      <c r="I68" s="91" t="s">
        <v>69</v>
      </c>
      <c r="J68" s="22" t="s">
        <v>70</v>
      </c>
      <c r="K68" s="25" t="s">
        <v>71</v>
      </c>
      <c r="L68" s="21">
        <f>VLOOKUP(A68,[1]CPS!A67:AG251,16,FALSE)</f>
        <v>4322</v>
      </c>
      <c r="M68" s="21">
        <f>VLOOKUP(A68,[1]CPS!A67:AG251,18,FALSE)</f>
        <v>9422</v>
      </c>
      <c r="N68" s="29">
        <f>VLOOKUP(A68,[1]CPS!A67:AG251,19,FALSE)</f>
        <v>44586</v>
      </c>
      <c r="O68" s="21" t="str">
        <f>VLOOKUP(A68,[1]CPS!A67:AU251,46,FALSE)</f>
        <v>ADMINISTRACION</v>
      </c>
      <c r="P68" s="30">
        <f>VLOOKUP(A68,[1]CPS!A67:AG251,13,FALSE)</f>
        <v>2330000</v>
      </c>
      <c r="Q68" s="92">
        <f>VLOOKUP(A68,[1]CPS!A67:AG251,12,FALSE)</f>
        <v>25630000</v>
      </c>
      <c r="S68" s="22" t="s">
        <v>72</v>
      </c>
      <c r="T68" s="22" t="s">
        <v>73</v>
      </c>
      <c r="U68" s="93">
        <f>VLOOKUP(A68,[1]CPS!A67:AG251,5,FALSE)</f>
        <v>1121198753</v>
      </c>
      <c r="V68" s="34" t="s">
        <v>74</v>
      </c>
      <c r="W68" s="21" t="s">
        <v>75</v>
      </c>
      <c r="X68" s="35" t="s">
        <v>71</v>
      </c>
      <c r="Y68" s="21" t="str">
        <f t="shared" si="2"/>
        <v>RUBI NEYI MENDEZ YEPES</v>
      </c>
      <c r="Z68" s="21" t="str">
        <f>VLOOKUP(A68,[1]CPS!A67:AU251,35,FALSE)</f>
        <v>6 NO CONSTITUYÓ GARANTÍAS</v>
      </c>
      <c r="AA68" s="25" t="str">
        <f>VLOOKUP(A68,[1]CPS!A67:AU251,37,FALSE)</f>
        <v>N/A</v>
      </c>
      <c r="AB68" s="55" t="s">
        <v>71</v>
      </c>
      <c r="AC68" s="56" t="str">
        <f>VLOOKUP(A68,[1]CPS!A67:AU251,38,FALSE)</f>
        <v>N/A</v>
      </c>
      <c r="AD68" s="55" t="str">
        <f>VLOOKUP(A68,[1]CPS!A67:AU251,39,FALSE)</f>
        <v>N/A</v>
      </c>
      <c r="AE68" s="21" t="str">
        <f>VLOOKUP(A68,[1]CPS!A67:AU251,36,FALSE)</f>
        <v>PNN Río Puré</v>
      </c>
      <c r="AF68" s="22" t="s">
        <v>77</v>
      </c>
      <c r="AG68" s="22" t="s">
        <v>73</v>
      </c>
      <c r="AH68" s="38">
        <f>VLOOKUP(A68,[1]CPS!A67:AU251,41,FALSE)</f>
        <v>79672176</v>
      </c>
      <c r="AI68" s="21" t="str">
        <f>VLOOKUP(A68,[1]CPS!A67:AU251,29,FALSE)</f>
        <v>ALEXANDER ALFONSO SEGURA</v>
      </c>
      <c r="AJ68" s="35">
        <f>VLOOKUP(A68,[1]CPS!A67:AH251,34,FALSE)</f>
        <v>329</v>
      </c>
      <c r="AL68" s="94" t="str">
        <f>VLOOKUP(A68,[1]CPS!A67:AU251,40,FALSE)</f>
        <v>N/A</v>
      </c>
      <c r="AM68" s="95">
        <f>VLOOKUP(A68,[1]CPS!A67:AU251,44,FALSE)</f>
        <v>44586</v>
      </c>
      <c r="AN68" s="22" t="s">
        <v>78</v>
      </c>
      <c r="AO68" s="22">
        <v>0</v>
      </c>
      <c r="AP68" s="42">
        <v>0</v>
      </c>
      <c r="AQ68" s="43"/>
      <c r="AR68" s="44">
        <v>0</v>
      </c>
      <c r="AT68" s="96">
        <f>VLOOKUP(A68,[1]CPS!A67:AU251,25,FALSE)</f>
        <v>44586</v>
      </c>
      <c r="AU68" s="96">
        <f>VLOOKUP(A68,[1]CPS!A67:AU251,26,FALSE)</f>
        <v>44918</v>
      </c>
      <c r="AV68" s="97"/>
      <c r="AW68" s="22" t="s">
        <v>79</v>
      </c>
      <c r="AZ68" s="22" t="s">
        <v>79</v>
      </c>
      <c r="BA68" s="22">
        <v>0</v>
      </c>
      <c r="BE68" s="98"/>
      <c r="BF68" s="99">
        <f t="shared" si="3"/>
        <v>25630000</v>
      </c>
      <c r="BG68" s="100" t="str">
        <f>VLOOKUP(A68,[1]CPS!A67:AU251,2,FALSE)</f>
        <v>CAROL ANGELICA CERCADO</v>
      </c>
      <c r="BH68" s="21" t="str">
        <f>VLOOKUP(A68,[1]CPS!A67:AU251,42,FALSE)</f>
        <v>https://www.secop.gov.co/CO1ContractsManagement/Tendering/ProcurementContractEdit/View?docUniqueIdentifier=CO1.PCCNTR.3412600</v>
      </c>
      <c r="BI68" s="22" t="s">
        <v>80</v>
      </c>
      <c r="BK68" s="51" t="str">
        <f>VLOOKUP(A68,[1]CPS!A67:AU251,33,FALSE)</f>
        <v>https://www.secop.gov.co/CO1ContractsManagement/Tendering/ProcurementContractEdit/View?docUniqueIdentifier=CO1.PCCNTR.3397309&amp;awardUniqueIdentifier=&amp;buyerDossierUniqueIdentifier=CO1.BDOS.2689969&amp;id=1652720&amp;prevCtxUrl=https%3a%2f%2fwww.secop.gov.co%2fCO1BusinessLine%2fTendering%2fBuyerDossierWorkspace%2fIndex%3fsortingState%3dLastModifiedDESC%26showAdvancedSearch%3dFalse%26showAdvancedSearchFields%3dFalse%26selectedDossier%3dCO1.BDOS.2689969%26selectedRequest%3dCO1.REQ.2765707%26&amp;prevCtxLbl=Procesos+de+la+Entidad+Estatal</v>
      </c>
      <c r="BO68" s="53" t="s">
        <v>81</v>
      </c>
    </row>
    <row r="69" spans="1:67" ht="15" customHeight="1">
      <c r="A69" s="21">
        <v>68</v>
      </c>
      <c r="B69" s="22" t="s">
        <v>149</v>
      </c>
      <c r="C69" s="23" t="s">
        <v>68</v>
      </c>
      <c r="D69" s="24" t="str">
        <f>VLOOKUP(A69,[1]CPS!A68:AG252,3,FALSE)</f>
        <v>CD-DTAM NACION-CPS No. 068 - 2022</v>
      </c>
      <c r="E69" s="25">
        <v>68</v>
      </c>
      <c r="F69" s="21" t="str">
        <f>VLOOKUP(A69,[1]CPS!A68:AG252,4,FALSE)</f>
        <v>ROSENDO MIRAÑA MIRAÑA</v>
      </c>
      <c r="G69" s="90">
        <f>VLOOKUP(A69,[1]CPS!A68:AU252,43,FALSE)</f>
        <v>44586</v>
      </c>
      <c r="H69" s="21" t="str">
        <f>VLOOKUP(A69,[1]CPS!A68:AG252,9,FALSE)</f>
        <v>Prestar servicios asistenciales y de apoyo a la gestión que permitan adelantar los trabajos operativos y logísticos en la cabaña del área no municipalizada de La Pedrera y que faciliten la implementación de las estrategias de manejo priorizadas por los Parques Nacionales Naturales Río Puré, Cahuinarí y Yaigojé Apaporis y el buen estado de la infraestructura del secto</v>
      </c>
      <c r="I69" s="91" t="s">
        <v>69</v>
      </c>
      <c r="J69" s="22" t="s">
        <v>70</v>
      </c>
      <c r="K69" s="25" t="s">
        <v>71</v>
      </c>
      <c r="L69" s="21">
        <f>VLOOKUP(A69,[1]CPS!A68:AG252,16,FALSE)</f>
        <v>10722</v>
      </c>
      <c r="M69" s="21">
        <f>VLOOKUP(A69,[1]CPS!A68:AG252,18,FALSE)</f>
        <v>9622</v>
      </c>
      <c r="N69" s="29">
        <f>VLOOKUP(A69,[1]CPS!A68:AG252,19,FALSE)</f>
        <v>44587</v>
      </c>
      <c r="O69" s="21" t="str">
        <f>VLOOKUP(A69,[1]CPS!A68:AU252,46,FALSE)</f>
        <v>ADMINISTRACION</v>
      </c>
      <c r="P69" s="30">
        <f>VLOOKUP(A69,[1]CPS!A68:AG252,13,FALSE)</f>
        <v>1412000</v>
      </c>
      <c r="Q69" s="92">
        <f>VLOOKUP(A69,[1]CPS!A68:AG252,12,FALSE)</f>
        <v>15532000</v>
      </c>
      <c r="S69" s="22" t="s">
        <v>72</v>
      </c>
      <c r="T69" s="22" t="s">
        <v>73</v>
      </c>
      <c r="U69" s="93">
        <f>VLOOKUP(A69,[1]CPS!A68:AG252,5,FALSE)</f>
        <v>1121202177</v>
      </c>
      <c r="V69" s="34" t="s">
        <v>74</v>
      </c>
      <c r="W69" s="21" t="s">
        <v>75</v>
      </c>
      <c r="X69" s="35" t="s">
        <v>71</v>
      </c>
      <c r="Y69" s="21" t="str">
        <f t="shared" si="2"/>
        <v>ROSENDO MIRAÑA MIRAÑA</v>
      </c>
      <c r="Z69" s="21" t="str">
        <f>VLOOKUP(A69,[1]CPS!A68:AU252,35,FALSE)</f>
        <v>6 NO CONSTITUYÓ GARANTÍAS</v>
      </c>
      <c r="AA69" s="25" t="str">
        <f>VLOOKUP(A69,[1]CPS!A68:AU252,37,FALSE)</f>
        <v>N/A</v>
      </c>
      <c r="AB69" s="55" t="s">
        <v>71</v>
      </c>
      <c r="AC69" s="56" t="str">
        <f>VLOOKUP(A69,[1]CPS!A68:AU252,38,FALSE)</f>
        <v>N/A</v>
      </c>
      <c r="AD69" s="55" t="str">
        <f>VLOOKUP(A69,[1]CPS!A68:AU252,39,FALSE)</f>
        <v>N/A</v>
      </c>
      <c r="AE69" s="21" t="str">
        <f>VLOOKUP(A69,[1]CPS!A68:AU252,36,FALSE)</f>
        <v>PNN Cahuinari</v>
      </c>
      <c r="AF69" s="22" t="s">
        <v>77</v>
      </c>
      <c r="AG69" s="22" t="s">
        <v>73</v>
      </c>
      <c r="AH69" s="38">
        <f>VLOOKUP(A69,[1]CPS!A68:AU252,41,FALSE)</f>
        <v>10289238</v>
      </c>
      <c r="AI69" s="21" t="str">
        <f>VLOOKUP(A69,[1]CPS!A68:AU252,29,FALSE)</f>
        <v>IVAN DARIO QUICENO GALLEGO</v>
      </c>
      <c r="AJ69" s="35">
        <f>VLOOKUP(A69,[1]CPS!A68:AH252,34,FALSE)</f>
        <v>330</v>
      </c>
      <c r="AL69" s="94" t="str">
        <f>VLOOKUP(A69,[1]CPS!A68:AU252,40,FALSE)</f>
        <v>N/A</v>
      </c>
      <c r="AM69" s="95">
        <f>VLOOKUP(A69,[1]CPS!A68:AU252,44,FALSE)</f>
        <v>44587</v>
      </c>
      <c r="AN69" s="22" t="s">
        <v>78</v>
      </c>
      <c r="AO69" s="22">
        <v>0</v>
      </c>
      <c r="AP69" s="42">
        <v>0</v>
      </c>
      <c r="AQ69" s="43"/>
      <c r="AR69" s="44">
        <v>0</v>
      </c>
      <c r="AT69" s="96">
        <f>VLOOKUP(A69,[1]CPS!A68:AU252,25,FALSE)</f>
        <v>44586</v>
      </c>
      <c r="AU69" s="96">
        <f>VLOOKUP(A69,[1]CPS!A68:AU252,26,FALSE)</f>
        <v>44919</v>
      </c>
      <c r="AV69" s="97"/>
      <c r="AW69" s="22" t="s">
        <v>79</v>
      </c>
      <c r="AZ69" s="22" t="s">
        <v>79</v>
      </c>
      <c r="BA69" s="22">
        <v>0</v>
      </c>
      <c r="BE69" s="98"/>
      <c r="BF69" s="99">
        <f t="shared" si="3"/>
        <v>15532000</v>
      </c>
      <c r="BG69" s="100" t="str">
        <f>VLOOKUP(A69,[1]CPS!A68:AU252,2,FALSE)</f>
        <v>LAURA CAROLINA CORREA RAMIREZ</v>
      </c>
      <c r="BH69" s="21" t="str">
        <f>VLOOKUP(A69,[1]CPS!A68:AU252,42,FALSE)</f>
        <v>https://www.secop.gov.co/CO1ContractsManagement/Tendering/ProcurementContractEdit/View?docUniqueIdentifier=CO1.PCCNTR.3425541</v>
      </c>
      <c r="BI69" s="22" t="s">
        <v>80</v>
      </c>
      <c r="BK69" s="51" t="str">
        <f>VLOOKUP(A69,[1]CPS!A68:AU252,33,FALSE)</f>
        <v>https://www.secop.gov.co/CO1ContractsManagement/Tendering/ProcurementContractEdit/View?docUniqueIdentifier=CO1.PCCNTR.3412600&amp;awardUniqueIdentifier=&amp;buyerDossierUniqueIdentifier=CO1.BDOS.2703586&amp;id=1667778&amp;prevCtxUrl=https%3a%2f%2fwww.secop.gov.co%2fCO1BusinessLine%2fTendering%2fBuyerDossierWorkspace%2fIndex%3fsortingState%3dLastModifiedDESC%26showAdvancedSearch%3dFalse%26showAdvancedSearchFields%3dFalse%26selectedDossier%3dCO1.BDOS.2703586%26selectedRequest%3dCO1.REQ.2778614%26&amp;prevCtxLbl=Procesos+de+la+Entidad+Estatal</v>
      </c>
      <c r="BO69" s="53" t="s">
        <v>81</v>
      </c>
    </row>
    <row r="70" spans="1:67" ht="15" customHeight="1">
      <c r="A70" s="21">
        <v>69</v>
      </c>
      <c r="B70" s="22" t="s">
        <v>150</v>
      </c>
      <c r="C70" s="23" t="s">
        <v>68</v>
      </c>
      <c r="D70" s="24" t="str">
        <f>VLOOKUP(A70,[1]CPS!A69:AG253,3,FALSE)</f>
        <v>CD-DTAM NACION-CPS No. 069 - 2022</v>
      </c>
      <c r="E70" s="25">
        <v>69</v>
      </c>
      <c r="F70" s="21" t="str">
        <f>VLOOKUP(A70,[1]CPS!A69:AG253,4,FALSE)</f>
        <v>MONICA ANDREA RIVERA</v>
      </c>
      <c r="G70" s="90">
        <f>VLOOKUP(A70,[1]CPS!A69:AU253,43,FALSE)</f>
        <v>44587</v>
      </c>
      <c r="H70" s="21" t="str">
        <f>VLOOKUP(A70,[1]CPS!A69:AG253,9,FALSE)</f>
        <v>Prestar servicios técnicos para desarrollar actividades administrativas de ejecución presupuestal y de soporte a los mecanismos de planeación, evaluación y seguimiento de los programas del sistema integrado de gestión del PNN La Paya.</v>
      </c>
      <c r="I70" s="91" t="s">
        <v>69</v>
      </c>
      <c r="J70" s="22" t="s">
        <v>70</v>
      </c>
      <c r="K70" s="25" t="s">
        <v>71</v>
      </c>
      <c r="L70" s="21">
        <f>VLOOKUP(A70,[1]CPS!A69:AG253,16,FALSE)</f>
        <v>11022</v>
      </c>
      <c r="M70" s="21">
        <f>VLOOKUP(A70,[1]CPS!A69:AG253,18,FALSE)</f>
        <v>12422</v>
      </c>
      <c r="N70" s="29">
        <f>VLOOKUP(A70,[1]CPS!A69:AG253,19,FALSE)</f>
        <v>44588</v>
      </c>
      <c r="O70" s="21" t="str">
        <f>VLOOKUP(A70,[1]CPS!A69:AU253,46,FALSE)</f>
        <v>FORTALECIMIENTO</v>
      </c>
      <c r="P70" s="30">
        <f>VLOOKUP(A70,[1]CPS!A69:AG253,13,FALSE)</f>
        <v>2812000</v>
      </c>
      <c r="Q70" s="92">
        <f>VLOOKUP(A70,[1]CPS!A69:AG253,12,FALSE)</f>
        <v>30935000</v>
      </c>
      <c r="S70" s="22" t="s">
        <v>72</v>
      </c>
      <c r="T70" s="22" t="s">
        <v>73</v>
      </c>
      <c r="U70" s="93">
        <f>VLOOKUP(A70,[1]CPS!A69:AG253,5,FALSE)</f>
        <v>1122726060</v>
      </c>
      <c r="V70" s="34" t="s">
        <v>74</v>
      </c>
      <c r="W70" s="21" t="s">
        <v>75</v>
      </c>
      <c r="X70" s="35" t="s">
        <v>71</v>
      </c>
      <c r="Y70" s="21" t="str">
        <f t="shared" si="2"/>
        <v>MONICA ANDREA RIVERA</v>
      </c>
      <c r="Z70" s="21" t="str">
        <f>VLOOKUP(A70,[1]CPS!A69:AU253,35,FALSE)</f>
        <v>6 NO CONSTITUYÓ GARANTÍAS</v>
      </c>
      <c r="AA70" s="25" t="str">
        <f>VLOOKUP(A70,[1]CPS!A69:AU253,37,FALSE)</f>
        <v>N/A</v>
      </c>
      <c r="AB70" s="55" t="s">
        <v>71</v>
      </c>
      <c r="AC70" s="56" t="str">
        <f>VLOOKUP(A70,[1]CPS!A69:AU253,38,FALSE)</f>
        <v>N/A</v>
      </c>
      <c r="AD70" s="55" t="str">
        <f>VLOOKUP(A70,[1]CPS!A69:AU253,39,FALSE)</f>
        <v>N/A</v>
      </c>
      <c r="AE70" s="21" t="str">
        <f>VLOOKUP(A70,[1]CPS!A69:AU253,36,FALSE)</f>
        <v>PNN La Paya</v>
      </c>
      <c r="AF70" s="22" t="s">
        <v>77</v>
      </c>
      <c r="AG70" s="22" t="s">
        <v>73</v>
      </c>
      <c r="AH70" s="38">
        <f>VLOOKUP(A70,[1]CPS!A69:AU253,41,FALSE)</f>
        <v>93404206</v>
      </c>
      <c r="AI70" s="21" t="str">
        <f>VLOOKUP(A70,[1]CPS!A69:AU253,29,FALSE)</f>
        <v>JEFERSON ROJAS NIETO</v>
      </c>
      <c r="AJ70" s="35">
        <f>VLOOKUP(A70,[1]CPS!A69:AH253,34,FALSE)</f>
        <v>330</v>
      </c>
      <c r="AL70" s="94" t="str">
        <f>VLOOKUP(A70,[1]CPS!A69:AU253,40,FALSE)</f>
        <v>N/A</v>
      </c>
      <c r="AM70" s="95">
        <f>VLOOKUP(A70,[1]CPS!A69:AU253,44,FALSE)</f>
        <v>44588</v>
      </c>
      <c r="AN70" s="22" t="s">
        <v>78</v>
      </c>
      <c r="AO70" s="22">
        <v>0</v>
      </c>
      <c r="AP70" s="42">
        <v>0</v>
      </c>
      <c r="AQ70" s="43"/>
      <c r="AR70" s="44">
        <v>0</v>
      </c>
      <c r="AT70" s="96">
        <f>VLOOKUP(A70,[1]CPS!A69:AU253,25,FALSE)</f>
        <v>44587</v>
      </c>
      <c r="AU70" s="96">
        <f>VLOOKUP(A70,[1]CPS!A69:AU253,26,FALSE)</f>
        <v>44919</v>
      </c>
      <c r="AV70" s="97"/>
      <c r="AW70" s="22" t="s">
        <v>79</v>
      </c>
      <c r="AZ70" s="22" t="s">
        <v>79</v>
      </c>
      <c r="BA70" s="22">
        <v>0</v>
      </c>
      <c r="BE70" s="98"/>
      <c r="BF70" s="99">
        <f t="shared" si="3"/>
        <v>30935000</v>
      </c>
      <c r="BG70" s="100" t="str">
        <f>VLOOKUP(A70,[1]CPS!A69:AU253,2,FALSE)</f>
        <v>ALEJANDRO DELGADO LOZANO</v>
      </c>
      <c r="BH70" s="21" t="str">
        <f>VLOOKUP(A70,[1]CPS!A69:AU253,42,FALSE)</f>
        <v>https://www.secop.gov.co/CO1ContractsManagement/Tendering/ProcurementContractEdit/View?docUniqueIdentifier=CO1.PCCNTR.3454527</v>
      </c>
      <c r="BI70" s="22" t="s">
        <v>80</v>
      </c>
      <c r="BK70" s="51" t="str">
        <f>VLOOKUP(A70,[1]CPS!A69:AU253,33,FALSE)</f>
        <v>https://community.secop.gov.co/Public/Tendering/OpportunityDetail/Index?noticeUID=CO1.NTC.2715105&amp;isFromPublicArea=True&amp;isModal=False</v>
      </c>
      <c r="BO70" s="53" t="s">
        <v>81</v>
      </c>
    </row>
    <row r="71" spans="1:67" ht="15" customHeight="1">
      <c r="A71" s="21">
        <v>70</v>
      </c>
      <c r="B71" s="22" t="s">
        <v>151</v>
      </c>
      <c r="C71" s="23" t="s">
        <v>68</v>
      </c>
      <c r="D71" s="24" t="str">
        <f>VLOOKUP(A71,[1]CPS!A70:AG254,3,FALSE)</f>
        <v>CD-DTAM NACION-CPS No. 070 - 2022</v>
      </c>
      <c r="E71" s="25">
        <v>70</v>
      </c>
      <c r="F71" s="21" t="str">
        <f>VLOOKUP(A71,[1]CPS!A70:AG254,4,FALSE)</f>
        <v>LORENA ESPERANZA REYES MARUNLANDA</v>
      </c>
      <c r="G71" s="90">
        <f>VLOOKUP(A71,[1]CPS!A70:AU254,43,FALSE)</f>
        <v>44587</v>
      </c>
      <c r="H71" s="21" t="str">
        <f>VLOOKUP(A71,[1]CPS!A70:AG254,9,FALSE)</f>
        <v>Prestar servicios técnicos y administrativos que aporten al proceso de relacionamiento para la construcción de acuerdos de uso y la implementación de los planes de acción de los Acuerdos Políticos de Voluntades entre ACILAPP, APKAC y ACIPS y el PNN La Paya..</v>
      </c>
      <c r="I71" s="91" t="s">
        <v>69</v>
      </c>
      <c r="J71" s="22" t="s">
        <v>70</v>
      </c>
      <c r="K71" s="25" t="s">
        <v>71</v>
      </c>
      <c r="L71" s="21">
        <f>VLOOKUP(A71,[1]CPS!A70:AG254,16,FALSE)</f>
        <v>11622</v>
      </c>
      <c r="M71" s="21">
        <f>VLOOKUP(A71,[1]CPS!A70:AG254,18,FALSE)</f>
        <v>12322</v>
      </c>
      <c r="N71" s="29">
        <f>VLOOKUP(A71,[1]CPS!A70:AG254,19,FALSE)</f>
        <v>44588</v>
      </c>
      <c r="O71" s="21" t="str">
        <f>VLOOKUP(A71,[1]CPS!A70:AU254,46,FALSE)</f>
        <v>ADMINISTRACION</v>
      </c>
      <c r="P71" s="30">
        <f>VLOOKUP(A71,[1]CPS!A70:AG254,13,FALSE)</f>
        <v>2329000</v>
      </c>
      <c r="Q71" s="92">
        <f>VLOOKUP(A71,[1]CPS!A70:AG254,12,FALSE)</f>
        <v>25629000</v>
      </c>
      <c r="S71" s="22" t="s">
        <v>72</v>
      </c>
      <c r="T71" s="22" t="s">
        <v>73</v>
      </c>
      <c r="U71" s="93">
        <f>VLOOKUP(A71,[1]CPS!A70:AG254,5,FALSE)</f>
        <v>1122725851</v>
      </c>
      <c r="V71" s="34" t="s">
        <v>74</v>
      </c>
      <c r="W71" s="21" t="s">
        <v>75</v>
      </c>
      <c r="X71" s="35" t="s">
        <v>71</v>
      </c>
      <c r="Y71" s="21" t="str">
        <f t="shared" si="2"/>
        <v>LORENA ESPERANZA REYES MARUNLANDA</v>
      </c>
      <c r="Z71" s="21" t="str">
        <f>VLOOKUP(A71,[1]CPS!A70:AU254,35,FALSE)</f>
        <v>6 NO CONSTITUYÓ GARANTÍAS</v>
      </c>
      <c r="AA71" s="25" t="str">
        <f>VLOOKUP(A71,[1]CPS!A70:AU254,37,FALSE)</f>
        <v>N/A</v>
      </c>
      <c r="AB71" s="55" t="s">
        <v>71</v>
      </c>
      <c r="AC71" s="56" t="str">
        <f>VLOOKUP(A71,[1]CPS!A70:AU254,38,FALSE)</f>
        <v>N/A</v>
      </c>
      <c r="AD71" s="55" t="str">
        <f>VLOOKUP(A71,[1]CPS!A70:AU254,39,FALSE)</f>
        <v>N/A</v>
      </c>
      <c r="AE71" s="21" t="str">
        <f>VLOOKUP(A71,[1]CPS!A70:AU254,36,FALSE)</f>
        <v>PNN La Paya</v>
      </c>
      <c r="AF71" s="22" t="s">
        <v>77</v>
      </c>
      <c r="AG71" s="22" t="s">
        <v>73</v>
      </c>
      <c r="AH71" s="38">
        <f>VLOOKUP(A71,[1]CPS!A70:AU254,41,FALSE)</f>
        <v>93404206</v>
      </c>
      <c r="AI71" s="21" t="str">
        <f>VLOOKUP(A71,[1]CPS!A70:AU254,29,FALSE)</f>
        <v>JEFERSON ROJAS NIETO</v>
      </c>
      <c r="AJ71" s="35">
        <f>VLOOKUP(A71,[1]CPS!A70:AH254,34,FALSE)</f>
        <v>330</v>
      </c>
      <c r="AL71" s="94" t="str">
        <f>VLOOKUP(A71,[1]CPS!A70:AU254,40,FALSE)</f>
        <v>N/A</v>
      </c>
      <c r="AM71" s="95">
        <f>VLOOKUP(A71,[1]CPS!A70:AU254,44,FALSE)</f>
        <v>44588</v>
      </c>
      <c r="AN71" s="22" t="s">
        <v>78</v>
      </c>
      <c r="AO71" s="22">
        <v>0</v>
      </c>
      <c r="AP71" s="42">
        <v>0</v>
      </c>
      <c r="AQ71" s="43"/>
      <c r="AR71" s="44">
        <v>0</v>
      </c>
      <c r="AT71" s="96">
        <f>VLOOKUP(A71,[1]CPS!A70:AU254,25,FALSE)</f>
        <v>44588</v>
      </c>
      <c r="AU71" s="96">
        <f>VLOOKUP(A71,[1]CPS!A70:AU254,26,FALSE)</f>
        <v>44921</v>
      </c>
      <c r="AV71" s="97"/>
      <c r="AW71" s="22" t="s">
        <v>79</v>
      </c>
      <c r="AZ71" s="22" t="s">
        <v>79</v>
      </c>
      <c r="BA71" s="22">
        <v>0</v>
      </c>
      <c r="BE71" s="98"/>
      <c r="BF71" s="99">
        <f t="shared" si="3"/>
        <v>25629000</v>
      </c>
      <c r="BG71" s="100" t="str">
        <f>VLOOKUP(A71,[1]CPS!A70:AU254,2,FALSE)</f>
        <v>ALEJANDRO DELGADO LOZANO</v>
      </c>
      <c r="BH71" s="21" t="str">
        <f>VLOOKUP(A71,[1]CPS!A70:AU254,42,FALSE)</f>
        <v>https://www.secop.gov.co/CO1ContractsManagement/Tendering/ProcurementContractEdit/View?docUniqueIdentifier=CO1.PCCNTR.3458764</v>
      </c>
      <c r="BI71" s="22" t="s">
        <v>80</v>
      </c>
      <c r="BK71" s="51" t="str">
        <f>VLOOKUP(A71,[1]CPS!A70:AU254,33,FALSE)</f>
        <v>https://community.secop.gov.co/Public/Tendering/OpportunityDetail/Index?noticeUID=CO1.NTC.2706055&amp;isFromPublicArea=True&amp;isModal=False</v>
      </c>
      <c r="BO71" s="53" t="s">
        <v>81</v>
      </c>
    </row>
    <row r="72" spans="1:67" ht="15" customHeight="1">
      <c r="A72" s="21">
        <v>71</v>
      </c>
      <c r="B72" s="22" t="s">
        <v>152</v>
      </c>
      <c r="C72" s="23" t="s">
        <v>68</v>
      </c>
      <c r="D72" s="24" t="str">
        <f>VLOOKUP(A72,[1]CPS!A71:AG255,3,FALSE)</f>
        <v>CD-DTAM NACION-CPS No. 071 - 2022</v>
      </c>
      <c r="E72" s="25">
        <v>71</v>
      </c>
      <c r="F72" s="21" t="str">
        <f>VLOOKUP(A72,[1]CPS!A71:AG255,4,FALSE)</f>
        <v>LEYDER JOHAN COVALEDA RAMOS</v>
      </c>
      <c r="G72" s="90">
        <f>VLOOKUP(A72,[1]CPS!A71:AU255,43,FALSE)</f>
        <v>44586</v>
      </c>
      <c r="H72" s="21" t="str">
        <f>VLOOKUP(A72,[1]CPS!A71:AG255,9,FALSE)</f>
        <v>Prestación de servicios de un Operario (Experto Local) campesino en el área operativa como apoyo a la gestión relacionada con el fortalecimiento del proceso de Uso Ocupación y Tenencia y Ordenamiento Ambiental que se adelanta en el Área Protegida.</v>
      </c>
      <c r="I72" s="91" t="s">
        <v>69</v>
      </c>
      <c r="J72" s="22" t="s">
        <v>70</v>
      </c>
      <c r="K72" s="25" t="s">
        <v>71</v>
      </c>
      <c r="L72" s="21">
        <f>VLOOKUP(A72,[1]CPS!A71:AG255,16,FALSE)</f>
        <v>10622</v>
      </c>
      <c r="M72" s="21">
        <f>VLOOKUP(A72,[1]CPS!A71:AG255,18,FALSE)</f>
        <v>9222</v>
      </c>
      <c r="N72" s="29">
        <f>VLOOKUP(A72,[1]CPS!A71:AG255,19,FALSE)</f>
        <v>44586</v>
      </c>
      <c r="O72" s="21" t="str">
        <f>VLOOKUP(A72,[1]CPS!A71:AU255,46,FALSE)</f>
        <v>ADMINISTRACION</v>
      </c>
      <c r="P72" s="30">
        <f>VLOOKUP(A72,[1]CPS!A71:AG255,13,FALSE)</f>
        <v>1412000</v>
      </c>
      <c r="Q72" s="92">
        <f>VLOOKUP(A72,[1]CPS!A71:AG255,12,FALSE)</f>
        <v>15532000</v>
      </c>
      <c r="S72" s="22" t="s">
        <v>72</v>
      </c>
      <c r="T72" s="22" t="s">
        <v>73</v>
      </c>
      <c r="U72" s="93">
        <f>VLOOKUP(A72,[1]CPS!A71:AG255,5,FALSE)</f>
        <v>1006811567</v>
      </c>
      <c r="V72" s="34" t="s">
        <v>74</v>
      </c>
      <c r="W72" s="21" t="s">
        <v>75</v>
      </c>
      <c r="X72" s="35" t="s">
        <v>71</v>
      </c>
      <c r="Y72" s="21" t="str">
        <f t="shared" si="2"/>
        <v>LEYDER JOHAN COVALEDA RAMOS</v>
      </c>
      <c r="Z72" s="21" t="str">
        <f>VLOOKUP(A72,[1]CPS!A71:AU255,35,FALSE)</f>
        <v>6 NO CONSTITUYÓ GARANTÍAS</v>
      </c>
      <c r="AA72" s="25" t="str">
        <f>VLOOKUP(A72,[1]CPS!A71:AU255,37,FALSE)</f>
        <v>N/A</v>
      </c>
      <c r="AB72" s="55" t="s">
        <v>71</v>
      </c>
      <c r="AC72" s="56" t="str">
        <f>VLOOKUP(A72,[1]CPS!A71:AU255,38,FALSE)</f>
        <v>N/A</v>
      </c>
      <c r="AD72" s="55" t="str">
        <f>VLOOKUP(A72,[1]CPS!A71:AU255,39,FALSE)</f>
        <v>N/A</v>
      </c>
      <c r="AE72" s="21" t="str">
        <f>VLOOKUP(A72,[1]CPS!A71:AU255,36,FALSE)</f>
        <v>RNN Nukak</v>
      </c>
      <c r="AF72" s="22" t="s">
        <v>77</v>
      </c>
      <c r="AG72" s="22" t="s">
        <v>73</v>
      </c>
      <c r="AH72" s="38">
        <f>VLOOKUP(A72,[1]CPS!A71:AU255,41,FALSE)</f>
        <v>86014797</v>
      </c>
      <c r="AI72" s="21" t="str">
        <f>VLOOKUP(A72,[1]CPS!A71:AU255,29,FALSE)</f>
        <v>VICTOR SETINA</v>
      </c>
      <c r="AJ72" s="35">
        <f>VLOOKUP(A72,[1]CPS!A71:AH255,34,FALSE)</f>
        <v>330</v>
      </c>
      <c r="AL72" s="94" t="str">
        <f>VLOOKUP(A72,[1]CPS!A71:AU255,40,FALSE)</f>
        <v>N/A</v>
      </c>
      <c r="AM72" s="95">
        <f>VLOOKUP(A72,[1]CPS!A71:AU255,44,FALSE)</f>
        <v>44586</v>
      </c>
      <c r="AN72" s="22" t="s">
        <v>78</v>
      </c>
      <c r="AO72" s="22">
        <v>0</v>
      </c>
      <c r="AP72" s="42">
        <v>0</v>
      </c>
      <c r="AQ72" s="43"/>
      <c r="AR72" s="44">
        <v>0</v>
      </c>
      <c r="AT72" s="96">
        <f>VLOOKUP(A72,[1]CPS!A71:AU255,25,FALSE)</f>
        <v>44588</v>
      </c>
      <c r="AU72" s="96">
        <f>VLOOKUP(A72,[1]CPS!A71:AU255,26,FALSE)</f>
        <v>44921</v>
      </c>
      <c r="AV72" s="97"/>
      <c r="AW72" s="22" t="s">
        <v>79</v>
      </c>
      <c r="AZ72" s="22" t="s">
        <v>79</v>
      </c>
      <c r="BA72" s="22">
        <v>0</v>
      </c>
      <c r="BE72" s="98"/>
      <c r="BF72" s="99">
        <f t="shared" si="3"/>
        <v>15532000</v>
      </c>
      <c r="BG72" s="100" t="str">
        <f>VLOOKUP(A72,[1]CPS!A71:AU255,2,FALSE)</f>
        <v>NORYLY AGUIRRE OTALORA</v>
      </c>
      <c r="BH72" s="21" t="str">
        <f>VLOOKUP(A72,[1]CPS!A71:AU255,42,FALSE)</f>
        <v>https://www.secop.gov.co/CO1ContractsManagement/Tendering/ProcurementContractEdit/View?docUniqueIdentifier=CO1.PCCNTR.3413276</v>
      </c>
      <c r="BI72" s="22" t="s">
        <v>80</v>
      </c>
      <c r="BK72" s="51" t="str">
        <f>VLOOKUP(A72,[1]CPS!A71:AU255,33,FALSE)</f>
        <v>https://community.secop.gov.co/Public/Tendering/OpportunityDetail/Index?noticeUID=CO1.NTC.2741416&amp;isFromPublicArea=True&amp;isModal=False</v>
      </c>
      <c r="BO72" s="53" t="s">
        <v>81</v>
      </c>
    </row>
    <row r="73" spans="1:67" ht="15" customHeight="1">
      <c r="A73" s="21">
        <v>72</v>
      </c>
      <c r="B73" s="22" t="s">
        <v>153</v>
      </c>
      <c r="C73" s="23" t="s">
        <v>68</v>
      </c>
      <c r="D73" s="24" t="str">
        <f>VLOOKUP(A73,[1]CPS!A72:AG256,3,FALSE)</f>
        <v>CD-DTAM NACION-CPS No. 072 - 2022</v>
      </c>
      <c r="E73" s="25">
        <v>72</v>
      </c>
      <c r="F73" s="21" t="str">
        <f>VLOOKUP(A73,[1]CPS!A72:AG256,4,FALSE)</f>
        <v>WILLIAM HUMBERTO FIGUEROA RODRÍGUEZ</v>
      </c>
      <c r="G73" s="90">
        <f>VLOOKUP(A73,[1]CPS!A72:AU256,43,FALSE)</f>
        <v>44586</v>
      </c>
      <c r="H73" s="21" t="str">
        <f>VLOOKUP(A73,[1]CPS!A72:AG256,9,FALSE)</f>
        <v>Prestar servicios técnicos y de apoyo a la gestión en el área de archivo de gestión de la Dirección Territorial Amazonía para la organización de la documentación física, así como foliación, rotulación e inventario documental</v>
      </c>
      <c r="I73" s="91" t="s">
        <v>69</v>
      </c>
      <c r="J73" s="22" t="s">
        <v>70</v>
      </c>
      <c r="K73" s="25" t="s">
        <v>71</v>
      </c>
      <c r="L73" s="21">
        <f>VLOOKUP(A73,[1]CPS!A72:AG256,16,FALSE)</f>
        <v>3122</v>
      </c>
      <c r="M73" s="21">
        <f>VLOOKUP(A73,[1]CPS!A72:AG256,18,FALSE)</f>
        <v>10022</v>
      </c>
      <c r="N73" s="29">
        <f>VLOOKUP(A73,[1]CPS!A72:AG256,19,FALSE)</f>
        <v>44587</v>
      </c>
      <c r="O73" s="21" t="str">
        <f>VLOOKUP(A73,[1]CPS!A72:AU256,46,FALSE)</f>
        <v>FORTALECIMIENTO</v>
      </c>
      <c r="P73" s="30">
        <f>VLOOKUP(A73,[1]CPS!A72:AG256,13,FALSE)</f>
        <v>2812000</v>
      </c>
      <c r="Q73" s="92">
        <f>VLOOKUP(A73,[1]CPS!A72:AG256,12,FALSE)</f>
        <v>30932000</v>
      </c>
      <c r="S73" s="22" t="s">
        <v>72</v>
      </c>
      <c r="T73" s="22" t="s">
        <v>73</v>
      </c>
      <c r="U73" s="93">
        <f>VLOOKUP(A73,[1]CPS!A72:AG256,5,FALSE)</f>
        <v>1070782267</v>
      </c>
      <c r="V73" s="34" t="s">
        <v>74</v>
      </c>
      <c r="W73" s="21" t="s">
        <v>75</v>
      </c>
      <c r="X73" s="35" t="s">
        <v>71</v>
      </c>
      <c r="Y73" s="21" t="str">
        <f t="shared" si="2"/>
        <v>WILLIAM HUMBERTO FIGUEROA RODRÍGUEZ</v>
      </c>
      <c r="Z73" s="21" t="str">
        <f>VLOOKUP(A73,[1]CPS!A72:AU256,35,FALSE)</f>
        <v>6 NO CONSTITUYÓ GARANTÍAS</v>
      </c>
      <c r="AA73" s="25" t="str">
        <f>VLOOKUP(A73,[1]CPS!A72:AU256,37,FALSE)</f>
        <v>N/A</v>
      </c>
      <c r="AB73" s="55" t="s">
        <v>71</v>
      </c>
      <c r="AC73" s="56" t="str">
        <f>VLOOKUP(A73,[1]CPS!A72:AU256,38,FALSE)</f>
        <v>N/A</v>
      </c>
      <c r="AD73" s="55" t="str">
        <f>VLOOKUP(A73,[1]CPS!A72:AU256,39,FALSE)</f>
        <v>N/A</v>
      </c>
      <c r="AE73" s="21" t="str">
        <f>VLOOKUP(A73,[1]CPS!A72:AU256,14,FALSE)</f>
        <v>DTAM</v>
      </c>
      <c r="AF73" s="22" t="s">
        <v>77</v>
      </c>
      <c r="AG73" s="22" t="s">
        <v>73</v>
      </c>
      <c r="AH73" s="38">
        <f>VLOOKUP(A73,[1]CPS!A72:AU256,41,FALSE)</f>
        <v>41674698</v>
      </c>
      <c r="AI73" s="21" t="str">
        <f>VLOOKUP(A73,[1]CPS!A72:AU256,29,FALSE)</f>
        <v>CLAUDIA OFELIA MANRIQUE ROA</v>
      </c>
      <c r="AJ73" s="35">
        <f>VLOOKUP(A73,[1]CPS!A72:AH256,34,FALSE)</f>
        <v>330</v>
      </c>
      <c r="AL73" s="94" t="str">
        <f>VLOOKUP(A73,[1]CPS!A72:AU256,40,FALSE)</f>
        <v>N/A</v>
      </c>
      <c r="AM73" s="95">
        <f>VLOOKUP(A73,[1]CPS!A72:AU256,44,FALSE)</f>
        <v>44587</v>
      </c>
      <c r="AN73" s="22" t="s">
        <v>78</v>
      </c>
      <c r="AO73" s="22">
        <v>0</v>
      </c>
      <c r="AP73" s="42">
        <v>0</v>
      </c>
      <c r="AQ73" s="43"/>
      <c r="AR73" s="44">
        <v>0</v>
      </c>
      <c r="AT73" s="96">
        <f>VLOOKUP(A73,[1]CPS!A72:AU256,25,FALSE)</f>
        <v>44586</v>
      </c>
      <c r="AU73" s="96">
        <f>VLOOKUP(A73,[1]CPS!A72:AU256,26,FALSE)</f>
        <v>44919</v>
      </c>
      <c r="AV73" s="97"/>
      <c r="AW73" s="22" t="s">
        <v>79</v>
      </c>
      <c r="AZ73" s="22" t="s">
        <v>79</v>
      </c>
      <c r="BA73" s="22">
        <v>0</v>
      </c>
      <c r="BE73" s="98"/>
      <c r="BF73" s="99">
        <f t="shared" si="3"/>
        <v>30932000</v>
      </c>
      <c r="BG73" s="100" t="str">
        <f>VLOOKUP(A73,[1]CPS!A72:AU256,2,FALSE)</f>
        <v>LAURA CAROLINA CORREA RAMIREZ</v>
      </c>
      <c r="BH73" s="21" t="str">
        <f>VLOOKUP(A73,[1]CPS!A72:AU256,42,FALSE)</f>
        <v>https://www.secop.gov.co/CO1ContractsManagement/Tendering/ProcurementContractEdit/View?docUniqueIdentifier=CO1.PCCNTR.3426958</v>
      </c>
      <c r="BI73" s="22" t="s">
        <v>80</v>
      </c>
      <c r="BK73" s="51" t="str">
        <f>VLOOKUP(A73,[1]CPS!A72:AU256,33,FALSE)</f>
        <v>https://community.secop.gov.co/Public/Tendering/ContractNoticePhases/View?PPI=CO1.PPI.17116320&amp;isFromPublicArea=True&amp;isModal=False</v>
      </c>
      <c r="BO73" s="53" t="s">
        <v>81</v>
      </c>
    </row>
    <row r="74" spans="1:67" ht="15" customHeight="1">
      <c r="A74" s="21">
        <v>73</v>
      </c>
      <c r="B74" s="22" t="s">
        <v>154</v>
      </c>
      <c r="C74" s="23" t="s">
        <v>68</v>
      </c>
      <c r="D74" s="24" t="str">
        <f>VLOOKUP(A74,[1]CPS!A73:AG257,3,FALSE)</f>
        <v>CD-DTAM NACION-CPS No. 073 - 2022</v>
      </c>
      <c r="E74" s="25">
        <v>73</v>
      </c>
      <c r="F74" s="21" t="str">
        <f>VLOOKUP(A74,[1]CPS!A73:AG257,4,FALSE)</f>
        <v>OSCAR DANIEL BUITRAGO SOTO</v>
      </c>
      <c r="G74" s="90">
        <f>VLOOKUP(A74,[1]CPS!A73:AU257,43,FALSE)</f>
        <v>44589</v>
      </c>
      <c r="H74" s="21" t="str">
        <f>VLOOKUP(A74,[1]CPS!A73:AG257,9,FALSE)</f>
        <v>Prestar servicios profesionales para fortalecer la función pública de la conservación entre el PNN Río Puré y las Autoridades Indígenas presentes en la zona de influencia del sector sur (AIZA).</v>
      </c>
      <c r="I74" s="91" t="s">
        <v>69</v>
      </c>
      <c r="J74" s="22" t="s">
        <v>70</v>
      </c>
      <c r="K74" s="25" t="s">
        <v>71</v>
      </c>
      <c r="L74" s="21">
        <f>VLOOKUP(A74,[1]CPS!A73:AG257,16,FALSE)</f>
        <v>4222</v>
      </c>
      <c r="M74" s="21">
        <f>VLOOKUP(A74,[1]CPS!A73:AG257,18,FALSE)</f>
        <v>15522</v>
      </c>
      <c r="N74" s="29">
        <f>VLOOKUP(A74,[1]CPS!A73:AG257,19,FALSE)</f>
        <v>44589</v>
      </c>
      <c r="O74" s="21" t="str">
        <f>VLOOKUP(A74,[1]CPS!A73:AU257,46,FALSE)</f>
        <v>ADMINISTRACION</v>
      </c>
      <c r="P74" s="30">
        <f>VLOOKUP(A74,[1]CPS!A73:AG257,13,FALSE)</f>
        <v>4100000</v>
      </c>
      <c r="Q74" s="92">
        <f>VLOOKUP(A74,[1]CPS!A73:AG257,12,FALSE)</f>
        <v>44690000</v>
      </c>
      <c r="S74" s="22" t="s">
        <v>72</v>
      </c>
      <c r="T74" s="22" t="s">
        <v>73</v>
      </c>
      <c r="U74" s="93">
        <f>VLOOKUP(A74,[1]CPS!A73:AG257,5,FALSE)</f>
        <v>80223560</v>
      </c>
      <c r="V74" s="34" t="s">
        <v>74</v>
      </c>
      <c r="W74" s="21" t="s">
        <v>75</v>
      </c>
      <c r="X74" s="35" t="s">
        <v>71</v>
      </c>
      <c r="Y74" s="21" t="str">
        <f t="shared" si="2"/>
        <v>OSCAR DANIEL BUITRAGO SOTO</v>
      </c>
      <c r="Z74" s="21" t="str">
        <f>VLOOKUP(A74,[1]CPS!A73:AU257,35,FALSE)</f>
        <v>6 NO CONSTITUYÓ GARANTÍAS</v>
      </c>
      <c r="AA74" s="25" t="str">
        <f>VLOOKUP(A74,[1]CPS!A73:AU257,37,FALSE)</f>
        <v>N/A</v>
      </c>
      <c r="AB74" s="55" t="s">
        <v>71</v>
      </c>
      <c r="AC74" s="56" t="str">
        <f>VLOOKUP(A74,[1]CPS!A73:AU257,38,FALSE)</f>
        <v>N/A</v>
      </c>
      <c r="AD74" s="55" t="str">
        <f>VLOOKUP(A74,[1]CPS!A73:AU257,39,FALSE)</f>
        <v>N/A</v>
      </c>
      <c r="AE74" s="21" t="str">
        <f>VLOOKUP(A74,[1]CPS!A73:AU257,36,FALSE)</f>
        <v>PNN Río Puré</v>
      </c>
      <c r="AF74" s="22" t="s">
        <v>77</v>
      </c>
      <c r="AG74" s="22" t="s">
        <v>73</v>
      </c>
      <c r="AH74" s="38">
        <f>VLOOKUP(A74,[1]CPS!A73:AU257,41,FALSE)</f>
        <v>79672176</v>
      </c>
      <c r="AI74" s="21" t="str">
        <f>VLOOKUP(A74,[1]CPS!A73:AU257,29,FALSE)</f>
        <v>ALEXANDER ALFONSO SEGURA</v>
      </c>
      <c r="AJ74" s="35">
        <f>VLOOKUP(A74,[1]CPS!A73:AH257,34,FALSE)</f>
        <v>330</v>
      </c>
      <c r="AL74" s="94" t="str">
        <f>VLOOKUP(A74,[1]CPS!A73:AU257,40,FALSE)</f>
        <v>N/A</v>
      </c>
      <c r="AM74" s="95">
        <f>VLOOKUP(A74,[1]CPS!A73:AU257,44,FALSE)</f>
        <v>44589</v>
      </c>
      <c r="AN74" s="22" t="s">
        <v>78</v>
      </c>
      <c r="AO74" s="22">
        <v>0</v>
      </c>
      <c r="AP74" s="42">
        <v>0</v>
      </c>
      <c r="AQ74" s="43"/>
      <c r="AR74" s="44">
        <v>0</v>
      </c>
      <c r="AT74" s="96">
        <f>VLOOKUP(A74,[1]CPS!A73:AU257,25,FALSE)</f>
        <v>44587</v>
      </c>
      <c r="AU74" s="96">
        <f>VLOOKUP(A74,[1]CPS!A73:AU257,26,FALSE)</f>
        <v>44919</v>
      </c>
      <c r="AV74" s="97"/>
      <c r="AW74" s="22" t="s">
        <v>79</v>
      </c>
      <c r="AZ74" s="22" t="s">
        <v>79</v>
      </c>
      <c r="BA74" s="22">
        <v>0</v>
      </c>
      <c r="BE74" s="98"/>
      <c r="BF74" s="99">
        <f t="shared" si="3"/>
        <v>44690000</v>
      </c>
      <c r="BG74" s="100" t="str">
        <f>VLOOKUP(A74,[1]CPS!A73:AU257,2,FALSE)</f>
        <v>CAROL ANGELICA CERCADO</v>
      </c>
      <c r="BH74" s="21" t="str">
        <f>VLOOKUP(A74,[1]CPS!A73:AU257,42,FALSE)</f>
        <v>https://www.secop.gov.co/CO1ContractsManagement/Tendering/ProcurementContractEdit/View?docUniqueIdentifier=CO1.PCCNTR.3507496</v>
      </c>
      <c r="BI74" s="22" t="s">
        <v>80</v>
      </c>
      <c r="BK74" s="51" t="str">
        <f>VLOOKUP(A74,[1]CPS!A73:AU257,33,FALSE)</f>
        <v>https://community.secop.gov.co/Public/Tendering/OpportunityDetail/Index?noticeUID=CO1.NTC.2716327&amp;isFromPublicArea=True&amp;isModal=False</v>
      </c>
      <c r="BO74" s="53" t="s">
        <v>81</v>
      </c>
    </row>
    <row r="75" spans="1:67" ht="15" customHeight="1">
      <c r="A75" s="21">
        <v>74</v>
      </c>
      <c r="B75" s="22" t="s">
        <v>155</v>
      </c>
      <c r="C75" s="23" t="s">
        <v>68</v>
      </c>
      <c r="D75" s="24" t="str">
        <f>VLOOKUP(A75,[1]CPS!A74:AG258,3,FALSE)</f>
        <v>CD-DTAM NACION-CPS No. 074 - 2022</v>
      </c>
      <c r="E75" s="25">
        <v>74</v>
      </c>
      <c r="F75" s="21" t="str">
        <f>VLOOKUP(A75,[1]CPS!A74:AG258,4,FALSE)</f>
        <v>XYOMARA CARRETERO PINZÓN</v>
      </c>
      <c r="G75" s="90">
        <f>VLOOKUP(A75,[1]CPS!A74:AU258,43,FALSE)</f>
        <v>44587</v>
      </c>
      <c r="H75" s="21" t="str">
        <f>VLOOKUP(A75,[1]CPS!A74:AG258,9,FALSE)</f>
        <v>Prestar servicios profesionales para avanzar en la consolidación y fortalecimiento del Sistema de Información del PNN Río Puré, en la actualización e implementación de su Programa de Monitoreo</v>
      </c>
      <c r="I75" s="91" t="s">
        <v>69</v>
      </c>
      <c r="J75" s="22" t="s">
        <v>70</v>
      </c>
      <c r="K75" s="25" t="s">
        <v>71</v>
      </c>
      <c r="L75" s="21">
        <f>VLOOKUP(A75,[1]CPS!A74:AG258,16,FALSE)</f>
        <v>4522</v>
      </c>
      <c r="M75" s="21">
        <f>VLOOKUP(A75,[1]CPS!A74:AG258,18,FALSE)</f>
        <v>11422</v>
      </c>
      <c r="N75" s="29">
        <f>VLOOKUP(A75,[1]CPS!A74:AG258,19,FALSE)</f>
        <v>44587</v>
      </c>
      <c r="O75" s="21" t="str">
        <f>VLOOKUP(A75,[1]CPS!A74:AU258,46,FALSE)</f>
        <v>ADMINISTRACION</v>
      </c>
      <c r="P75" s="30">
        <f>VLOOKUP(A75,[1]CPS!A74:AG258,13,FALSE)</f>
        <v>4100000</v>
      </c>
      <c r="Q75" s="92">
        <f>VLOOKUP(A75,[1]CPS!A74:AG258,12,FALSE)</f>
        <v>44690000</v>
      </c>
      <c r="S75" s="22" t="s">
        <v>72</v>
      </c>
      <c r="T75" s="22" t="s">
        <v>73</v>
      </c>
      <c r="U75" s="93">
        <f>VLOOKUP(A75,[1]CPS!A74:AG258,5,FALSE)</f>
        <v>52272735</v>
      </c>
      <c r="V75" s="34" t="s">
        <v>74</v>
      </c>
      <c r="W75" s="21" t="s">
        <v>75</v>
      </c>
      <c r="X75" s="35" t="s">
        <v>71</v>
      </c>
      <c r="Y75" s="21" t="str">
        <f t="shared" si="2"/>
        <v>XYOMARA CARRETERO PINZÓN</v>
      </c>
      <c r="Z75" s="21" t="str">
        <f>VLOOKUP(A75,[1]CPS!A74:AU258,35,FALSE)</f>
        <v>6 NO CONSTITUYÓ GARANTÍAS</v>
      </c>
      <c r="AA75" s="25" t="str">
        <f>VLOOKUP(A75,[1]CPS!A74:AU258,37,FALSE)</f>
        <v>N/A</v>
      </c>
      <c r="AB75" s="55" t="s">
        <v>71</v>
      </c>
      <c r="AC75" s="56" t="str">
        <f>VLOOKUP(A75,[1]CPS!A74:AU258,38,FALSE)</f>
        <v>N/A</v>
      </c>
      <c r="AD75" s="55" t="str">
        <f>VLOOKUP(A75,[1]CPS!A74:AU258,39,FALSE)</f>
        <v>N/A</v>
      </c>
      <c r="AE75" s="21" t="str">
        <f>VLOOKUP(A75,[1]CPS!A74:AU258,36,FALSE)</f>
        <v>PNN Río Puré</v>
      </c>
      <c r="AF75" s="22" t="s">
        <v>77</v>
      </c>
      <c r="AG75" s="22" t="s">
        <v>73</v>
      </c>
      <c r="AH75" s="38">
        <f>VLOOKUP(A75,[1]CPS!A74:AU258,41,FALSE)</f>
        <v>79672176</v>
      </c>
      <c r="AI75" s="21" t="str">
        <f>VLOOKUP(A75,[1]CPS!A74:AU258,29,FALSE)</f>
        <v>ALEXANDER ALFONSO SEGURA</v>
      </c>
      <c r="AJ75" s="35">
        <f>VLOOKUP(A75,[1]CPS!A74:AH258,34,FALSE)</f>
        <v>328</v>
      </c>
      <c r="AL75" s="94" t="str">
        <f>VLOOKUP(A75,[1]CPS!A74:AU258,40,FALSE)</f>
        <v>N/A</v>
      </c>
      <c r="AM75" s="95">
        <f>VLOOKUP(A75,[1]CPS!A74:AU258,44,FALSE)</f>
        <v>44587</v>
      </c>
      <c r="AN75" s="22" t="s">
        <v>78</v>
      </c>
      <c r="AO75" s="22">
        <v>0</v>
      </c>
      <c r="AP75" s="42">
        <v>0</v>
      </c>
      <c r="AQ75" s="43"/>
      <c r="AR75" s="44">
        <v>0</v>
      </c>
      <c r="AT75" s="96">
        <f>VLOOKUP(A75,[1]CPS!A74:AU258,25,FALSE)</f>
        <v>44589</v>
      </c>
      <c r="AU75" s="96">
        <f>VLOOKUP(A75,[1]CPS!A74:AU258,26,FALSE)</f>
        <v>44920</v>
      </c>
      <c r="AV75" s="97"/>
      <c r="AW75" s="22" t="s">
        <v>79</v>
      </c>
      <c r="AZ75" s="22" t="s">
        <v>79</v>
      </c>
      <c r="BA75" s="22">
        <v>0</v>
      </c>
      <c r="BE75" s="98"/>
      <c r="BF75" s="99">
        <f t="shared" si="3"/>
        <v>44690000</v>
      </c>
      <c r="BG75" s="100" t="str">
        <f>VLOOKUP(A75,[1]CPS!A74:AU258,2,FALSE)</f>
        <v>CAROL ANGELICA CERCADO</v>
      </c>
      <c r="BH75" s="21" t="str">
        <f>VLOOKUP(A75,[1]CPS!A74:AU258,42,FALSE)</f>
        <v>https://www.secop.gov.co/CO1ContractsManagement/Tendering/ProcurementContractEdit/View?docUniqueIdentifier=CO1.PCCNTR.3429813</v>
      </c>
      <c r="BI75" s="22" t="s">
        <v>80</v>
      </c>
      <c r="BK75" s="51" t="str">
        <f>VLOOKUP(A75,[1]CPS!A74:AU258,33,FALSE)</f>
        <v>https://www.secop.gov.co/CO1ContractsManagement/Tendering/ProcurementContractEdit/View?docUniqueIdentifier=CO1.PCCNTR.3507496&amp;awardUniqueIdentifier=&amp;buyerDossierUniqueIdentifier=CO1.BDOS.2720844&amp;id=1756879&amp;prevCtxUrl=https%3a%2f%2fwww.secop.gov.co%2fCO1BusinessLine%2fTendering%2fBuyerDossierWorkspace%2fIndex%3fsortingState%3dLastModifiedDESC%26showAdvancedSearch%3dFalse%26showAdvancedSearchFields%3dFalse%26selectedDossier%3dCO1.BDOS.2720844%26selectedRequest%3dCO1.REQ.2797093%26&amp;prevCtxLbl=Procesos+de+la+Entidad+Estatal</v>
      </c>
      <c r="BO75" s="53" t="s">
        <v>81</v>
      </c>
    </row>
    <row r="76" spans="1:67" ht="15" customHeight="1">
      <c r="A76" s="21">
        <v>75</v>
      </c>
      <c r="B76" s="22" t="s">
        <v>156</v>
      </c>
      <c r="C76" s="23" t="s">
        <v>68</v>
      </c>
      <c r="D76" s="24" t="str">
        <f>VLOOKUP(A76,[1]CPS!A75:AG259,3,FALSE)</f>
        <v>CD-DTAM NACION-CPS No. 075 - 2022</v>
      </c>
      <c r="E76" s="25">
        <v>75</v>
      </c>
      <c r="F76" s="21" t="str">
        <f>VLOOKUP(A76,[1]CPS!A75:AG259,4,FALSE)</f>
        <v>MARÍA SALOMÉ ARAMBURO CALLE</v>
      </c>
      <c r="G76" s="90">
        <f>VLOOKUP(A76,[1]CPS!A75:AU259,43,FALSE)</f>
        <v>44586</v>
      </c>
      <c r="H76" s="21" t="str">
        <f>VLOOKUP(A76,[1]CPS!A75:AG259,9,FALSE)</f>
        <v>Prestar servicios profesionales y de apoyo a la gestión del Parque Nacional Natural Amacayacu para implementar el ecoturismo en área protegida según lo establecido en el plan de ordenamiento ecoturístico.</v>
      </c>
      <c r="I76" s="91" t="s">
        <v>69</v>
      </c>
      <c r="J76" s="22" t="s">
        <v>70</v>
      </c>
      <c r="K76" s="25" t="s">
        <v>71</v>
      </c>
      <c r="L76" s="21">
        <f>VLOOKUP(A76,[1]CPS!A75:AG259,16,FALSE)</f>
        <v>4022</v>
      </c>
      <c r="M76" s="21">
        <f>VLOOKUP(A76,[1]CPS!A75:AG259,18,FALSE)</f>
        <v>9922</v>
      </c>
      <c r="N76" s="29">
        <f>VLOOKUP(A76,[1]CPS!A75:AG259,19,FALSE)</f>
        <v>44587</v>
      </c>
      <c r="O76" s="21" t="str">
        <f>VLOOKUP(A76,[1]CPS!A75:AU259,46,FALSE)</f>
        <v>ADMINISTRACION</v>
      </c>
      <c r="P76" s="30">
        <f>VLOOKUP(A76,[1]CPS!A75:AG259,13,FALSE)</f>
        <v>5100000</v>
      </c>
      <c r="Q76" s="92">
        <f>VLOOKUP(A76,[1]CPS!A75:AG259,12,FALSE)</f>
        <v>55930000</v>
      </c>
      <c r="S76" s="22" t="s">
        <v>72</v>
      </c>
      <c r="T76" s="22" t="s">
        <v>73</v>
      </c>
      <c r="U76" s="93">
        <f>VLOOKUP(A76,[1]CPS!A75:AG259,5,FALSE)</f>
        <v>43871926</v>
      </c>
      <c r="V76" s="34" t="s">
        <v>74</v>
      </c>
      <c r="W76" s="21" t="s">
        <v>75</v>
      </c>
      <c r="X76" s="35" t="s">
        <v>71</v>
      </c>
      <c r="Y76" s="21" t="str">
        <f t="shared" si="2"/>
        <v>MARÍA SALOMÉ ARAMBURO CALLE</v>
      </c>
      <c r="Z76" s="21" t="str">
        <f>VLOOKUP(A76,[1]CPS!A75:AU259,35,FALSE)</f>
        <v>6 NO CONSTITUYÓ GARANTÍAS</v>
      </c>
      <c r="AA76" s="25" t="str">
        <f>VLOOKUP(A76,[1]CPS!A75:AU259,37,FALSE)</f>
        <v>N/A</v>
      </c>
      <c r="AB76" s="55" t="s">
        <v>71</v>
      </c>
      <c r="AC76" s="56" t="str">
        <f>VLOOKUP(A76,[1]CPS!A75:AU259,38,FALSE)</f>
        <v>N/A</v>
      </c>
      <c r="AD76" s="55" t="str">
        <f>VLOOKUP(A76,[1]CPS!A75:AU259,39,FALSE)</f>
        <v>N/A</v>
      </c>
      <c r="AE76" s="21" t="str">
        <f>VLOOKUP(A76,[1]CPS!A75:AU259,36,FALSE)</f>
        <v>PNN Amacayacu</v>
      </c>
      <c r="AF76" s="22" t="s">
        <v>77</v>
      </c>
      <c r="AG76" s="22" t="s">
        <v>73</v>
      </c>
      <c r="AH76" s="38">
        <f>VLOOKUP(A76,[1]CPS!A75:AU259,41,FALSE)</f>
        <v>51935320</v>
      </c>
      <c r="AI76" s="21" t="str">
        <f>VLOOKUP(A76,[1]CPS!A75:AU259,29,FALSE)</f>
        <v>ELIANA MARTINEZ RUEDA</v>
      </c>
      <c r="AJ76" s="35">
        <f>VLOOKUP(A76,[1]CPS!A75:AH259,34,FALSE)</f>
        <v>327</v>
      </c>
      <c r="AL76" s="94" t="str">
        <f>VLOOKUP(A76,[1]CPS!A75:AU259,40,FALSE)</f>
        <v>N/A</v>
      </c>
      <c r="AM76" s="95">
        <f>VLOOKUP(A76,[1]CPS!A75:AU259,44,FALSE)</f>
        <v>44587</v>
      </c>
      <c r="AN76" s="22" t="s">
        <v>78</v>
      </c>
      <c r="AO76" s="22">
        <v>0</v>
      </c>
      <c r="AP76" s="42">
        <v>0</v>
      </c>
      <c r="AQ76" s="43"/>
      <c r="AR76" s="44">
        <v>0</v>
      </c>
      <c r="AT76" s="96">
        <f>VLOOKUP(A76,[1]CPS!A75:AU259,25,FALSE)</f>
        <v>44587</v>
      </c>
      <c r="AU76" s="96">
        <f>VLOOKUP(A76,[1]CPS!A75:AU259,26,FALSE)</f>
        <v>44918</v>
      </c>
      <c r="AV76" s="97"/>
      <c r="AW76" s="22" t="s">
        <v>79</v>
      </c>
      <c r="AZ76" s="22" t="s">
        <v>79</v>
      </c>
      <c r="BA76" s="22">
        <v>0</v>
      </c>
      <c r="BE76" s="98"/>
      <c r="BF76" s="99">
        <f t="shared" si="3"/>
        <v>55930000</v>
      </c>
      <c r="BG76" s="100" t="str">
        <f>VLOOKUP(A76,[1]CPS!A75:AU259,2,FALSE)</f>
        <v>CAROL ANGELICA CERCADO</v>
      </c>
      <c r="BH76" s="21" t="str">
        <f>VLOOKUP(A76,[1]CPS!A75:AU259,42,FALSE)</f>
        <v>https://www.secop.gov.co/CO1ContractsManagement/Tendering/ProcurementContractEdit/View?docUniqueIdentifier=CO1.PCCNTR.3416738</v>
      </c>
      <c r="BI76" s="22" t="s">
        <v>80</v>
      </c>
      <c r="BK76" s="51" t="str">
        <f>VLOOKUP(A76,[1]CPS!A75:AU259,33,FALSE)</f>
        <v>https://www.secop.gov.co/CO1ContractsManagement/Tendering/ProcurementContractEdit/View?docUniqueIdentifier=CO1.PCCNTR.3429813&amp;awardUniqueIdentifier=&amp;buyerDossierUniqueIdentifier=CO1.BDOS.2718261&amp;id=1682969&amp;prevCtxUrl=https%3a%2f%2fwww.secop.gov.co%2fCO1BusinessLine%2fTendering%2fBuyerDossierWorkspace%2fIndex%3fsortingState%3dLastModifiedDESC%26showAdvancedSearch%3dFalse%26showAdvancedSearchFields%3dFalse%26selectedDossier%3dCO1.BDOS.2718261%26selectedRequest%3dCO1.REQ.2791433%26&amp;prevCtxLbl=Procesos+de+la+Entidad+Estatal</v>
      </c>
      <c r="BO76" s="53" t="s">
        <v>81</v>
      </c>
    </row>
    <row r="77" spans="1:67" ht="15" customHeight="1">
      <c r="A77" s="21">
        <v>76</v>
      </c>
      <c r="B77" s="22" t="s">
        <v>157</v>
      </c>
      <c r="C77" s="23" t="s">
        <v>68</v>
      </c>
      <c r="D77" s="24" t="str">
        <f>VLOOKUP(A77,[1]CPS!A76:AG260,3,FALSE)</f>
        <v>CD-DTAM NACION-CPS No. 076 - 2022</v>
      </c>
      <c r="E77" s="25">
        <v>76</v>
      </c>
      <c r="F77" s="21" t="str">
        <f>VLOOKUP(A77,[1]CPS!A76:AG260,4,FALSE)</f>
        <v>LEIDY CAROLINA ROJAS ROJAS</v>
      </c>
      <c r="G77" s="90">
        <f>VLOOKUP(A77,[1]CPS!A76:AU260,43,FALSE)</f>
        <v>44587</v>
      </c>
      <c r="H77" s="21" t="str">
        <f>VLOOKUP(A77,[1]CPS!A76:AG260,9,FALSE)</f>
        <v>Prestar servicios profesionales en el eje de planeación y seguimiento institucional en la Dirección Territorial Amazonía de acuerdo a los lineamientos establecidos por Parques Nacionales Naturales de Colombia</v>
      </c>
      <c r="I77" s="91" t="s">
        <v>69</v>
      </c>
      <c r="J77" s="22" t="s">
        <v>70</v>
      </c>
      <c r="K77" s="25" t="s">
        <v>71</v>
      </c>
      <c r="L77" s="21">
        <f>VLOOKUP(A77,[1]CPS!A76:AG260,16,FALSE)</f>
        <v>13122</v>
      </c>
      <c r="M77" s="21">
        <f>VLOOKUP(A77,[1]CPS!A76:AG260,18,FALSE)</f>
        <v>11222</v>
      </c>
      <c r="N77" s="29">
        <f>VLOOKUP(A77,[1]CPS!A76:AG260,19,FALSE)</f>
        <v>44587</v>
      </c>
      <c r="O77" s="21" t="str">
        <f>VLOOKUP(A77,[1]CPS!A76:AU260,46,FALSE)</f>
        <v>FORTALECIMIENTO</v>
      </c>
      <c r="P77" s="30">
        <f>VLOOKUP(A77,[1]CPS!A76:AG260,13,FALSE)</f>
        <v>6304000</v>
      </c>
      <c r="Q77" s="92">
        <f>VLOOKUP(A77,[1]CPS!A76:AG260,12,FALSE)</f>
        <v>65351467</v>
      </c>
      <c r="S77" s="22" t="s">
        <v>72</v>
      </c>
      <c r="T77" s="22" t="s">
        <v>73</v>
      </c>
      <c r="U77" s="93">
        <f>VLOOKUP(A77,[1]CPS!A76:AG260,5,FALSE)</f>
        <v>1030575813</v>
      </c>
      <c r="V77" s="34" t="s">
        <v>74</v>
      </c>
      <c r="W77" s="21" t="s">
        <v>75</v>
      </c>
      <c r="X77" s="35" t="s">
        <v>71</v>
      </c>
      <c r="Y77" s="21" t="str">
        <f t="shared" si="2"/>
        <v>LEIDY CAROLINA ROJAS ROJAS</v>
      </c>
      <c r="Z77" s="21" t="str">
        <f>VLOOKUP(A77,[1]CPS!A76:AU260,35,FALSE)</f>
        <v>1 PÓLIZA</v>
      </c>
      <c r="AA77" s="35" t="str">
        <f>VLOOKUP(A77,[1]CPS!A76:AU260,37,FALSE)</f>
        <v>12 SEGUROS DEL ESTADO</v>
      </c>
      <c r="AB77" s="36" t="s">
        <v>76</v>
      </c>
      <c r="AC77" s="90">
        <f>VLOOKUP(A77,[1]CPS!A76:AU260,38,FALSE)</f>
        <v>44587</v>
      </c>
      <c r="AD77" s="35" t="str">
        <f>VLOOKUP(A77,[1]CPS!A76:AU260,39,FALSE)</f>
        <v>14-46-101068378</v>
      </c>
      <c r="AE77" s="21" t="str">
        <f>VLOOKUP(A77,[1]CPS!A76:AU260,36,FALSE)</f>
        <v>Dirección Territorial Amazonía</v>
      </c>
      <c r="AF77" s="22" t="s">
        <v>77</v>
      </c>
      <c r="AG77" s="22" t="s">
        <v>73</v>
      </c>
      <c r="AH77" s="38">
        <f>VLOOKUP(A77,[1]CPS!A76:AU260,41,FALSE)</f>
        <v>91297841</v>
      </c>
      <c r="AI77" s="21" t="str">
        <f>VLOOKUP(A77,[1]CPS!A76:AU260,29,FALSE)</f>
        <v>NANCY ESPERANZA RIVERA VEGA</v>
      </c>
      <c r="AJ77" s="35">
        <f>VLOOKUP(A77,[1]CPS!A76:AH260,34,FALSE)</f>
        <v>329</v>
      </c>
      <c r="AL77" s="94">
        <f>VLOOKUP(A77,[1]CPS!A76:AU260,40,FALSE)</f>
        <v>44587</v>
      </c>
      <c r="AM77" s="95">
        <f>VLOOKUP(A77,[1]CPS!A76:AU260,44,FALSE)</f>
        <v>44589</v>
      </c>
      <c r="AN77" s="22" t="s">
        <v>78</v>
      </c>
      <c r="AO77" s="22">
        <v>0</v>
      </c>
      <c r="AP77" s="42">
        <v>0</v>
      </c>
      <c r="AQ77" s="43"/>
      <c r="AR77" s="44">
        <v>0</v>
      </c>
      <c r="AT77" s="96">
        <f>VLOOKUP(A77,[1]CPS!A76:AU260,25,FALSE)</f>
        <v>44587</v>
      </c>
      <c r="AU77" s="96">
        <f>VLOOKUP(A77,[1]CPS!A76:AU260,26,FALSE)</f>
        <v>44918</v>
      </c>
      <c r="AV77" s="97"/>
      <c r="AW77" s="22" t="s">
        <v>79</v>
      </c>
      <c r="AZ77" s="22" t="s">
        <v>79</v>
      </c>
      <c r="BA77" s="22">
        <v>0</v>
      </c>
      <c r="BE77" s="98"/>
      <c r="BF77" s="99">
        <f t="shared" si="3"/>
        <v>65351467</v>
      </c>
      <c r="BG77" s="100" t="str">
        <f>VLOOKUP(A77,[1]CPS!A76:AU260,2,FALSE)</f>
        <v>LAURA CAROLINA CORREA RAMIREZ</v>
      </c>
      <c r="BH77" s="21" t="str">
        <f>VLOOKUP(A77,[1]CPS!A76:AU260,42,FALSE)</f>
        <v>https://www.secop.gov.co/CO1ContractsManagement/Tendering/ProcurementContractEdit/View?docUniqueIdentifier=CO1.PCCNTR.3434650</v>
      </c>
      <c r="BI77" s="22" t="s">
        <v>80</v>
      </c>
      <c r="BK77" s="51" t="str">
        <f>VLOOKUP(A77,[1]CPS!A76:AU260,33,FALSE)</f>
        <v>https://www.secop.gov.co/CO1ContractsManagement/Tendering/ProcurementContractEdit/View?docUniqueIdentifier=CO1.PCCNTR.3416738&amp;awardUniqueIdentifier=&amp;buyerDossierUniqueIdentifier=CO1.BDOS.2708019&amp;id=1671118&amp;prevCtxUrl=https%3a%2f%2fwww.secop.gov.co%2fCO1BusinessLine%2fTendering%2fBuyerDossierWorkspace%2fIndex%3fsortingState%3dLastModifiedDESC%26showAdvancedSearch%3dFalse%26showAdvancedSearchFields%3dFalse%26selectedDossier%3dCO1.BDOS.2708019%26selectedRequest%3dCO1.REQ.2781449%26&amp;prevCtxLbl=Procesos+de+la+Entidad+Estatal</v>
      </c>
      <c r="BO77" s="53" t="s">
        <v>81</v>
      </c>
    </row>
    <row r="78" spans="1:67" ht="15" customHeight="1">
      <c r="A78" s="21">
        <v>77</v>
      </c>
      <c r="B78" s="22" t="s">
        <v>158</v>
      </c>
      <c r="C78" s="23" t="s">
        <v>68</v>
      </c>
      <c r="D78" s="24" t="str">
        <f>VLOOKUP(A78,[1]CPS!A77:AG261,3,FALSE)</f>
        <v>CD-DTAM NACION-CPS No. 077 - 2022</v>
      </c>
      <c r="E78" s="25">
        <v>77</v>
      </c>
      <c r="F78" s="21" t="str">
        <f>VLOOKUP(A78,[1]CPS!A77:AG261,4,FALSE)</f>
        <v>JEYKELL RODOLFO PINILLA GONZALEZ</v>
      </c>
      <c r="G78" s="90">
        <f>VLOOKUP(A78,[1]CPS!A77:AU261,43,FALSE)</f>
        <v>44586</v>
      </c>
      <c r="H78" s="21" t="str">
        <f>VLOOKUP(A78,[1]CPS!A77:AG261,9,FALSE)</f>
        <v>Prestar servicios profesionales especializados y de apoyo a la gestión en la línea de estrategias especiales de manejo del PNN Amacayacu</v>
      </c>
      <c r="I78" s="91" t="s">
        <v>69</v>
      </c>
      <c r="J78" s="22" t="s">
        <v>70</v>
      </c>
      <c r="K78" s="25" t="s">
        <v>71</v>
      </c>
      <c r="L78" s="21">
        <f>VLOOKUP(A78,[1]CPS!A77:AG261,16,FALSE)</f>
        <v>8422</v>
      </c>
      <c r="M78" s="21">
        <f>VLOOKUP(A78,[1]CPS!A77:AG261,18,FALSE)</f>
        <v>10222</v>
      </c>
      <c r="N78" s="29">
        <f>VLOOKUP(A78,[1]CPS!A77:AG261,19,FALSE)</f>
        <v>44587</v>
      </c>
      <c r="O78" s="21" t="str">
        <f>VLOOKUP(A78,[1]CPS!A77:AU261,46,FALSE)</f>
        <v>ADMINISTRACION</v>
      </c>
      <c r="P78" s="30">
        <f>VLOOKUP(A78,[1]CPS!A77:AG261,13,FALSE)</f>
        <v>5100000</v>
      </c>
      <c r="Q78" s="92">
        <f>VLOOKUP(A78,[1]CPS!A77:AG261,12,FALSE)</f>
        <v>55930000</v>
      </c>
      <c r="S78" s="22" t="s">
        <v>72</v>
      </c>
      <c r="T78" s="22" t="s">
        <v>73</v>
      </c>
      <c r="U78" s="93">
        <f>VLOOKUP(A78,[1]CPS!A77:AG261,5,FALSE)</f>
        <v>80369703</v>
      </c>
      <c r="V78" s="34" t="s">
        <v>74</v>
      </c>
      <c r="W78" s="21" t="s">
        <v>75</v>
      </c>
      <c r="X78" s="35" t="s">
        <v>71</v>
      </c>
      <c r="Y78" s="21" t="str">
        <f t="shared" si="2"/>
        <v>JEYKELL RODOLFO PINILLA GONZALEZ</v>
      </c>
      <c r="Z78" s="21" t="str">
        <f>VLOOKUP(A78,[1]CPS!A77:AU261,35,FALSE)</f>
        <v>1 PÓLIZA</v>
      </c>
      <c r="AA78" s="35" t="str">
        <f>VLOOKUP(A78,[1]CPS!A77:AU261,37,FALSE)</f>
        <v>14 ASEGURADORA SOLIDARIA</v>
      </c>
      <c r="AB78" s="36" t="s">
        <v>76</v>
      </c>
      <c r="AC78" s="90">
        <f>VLOOKUP(A78,[1]CPS!A77:AU261,38,FALSE)</f>
        <v>44588</v>
      </c>
      <c r="AD78" s="35" t="str">
        <f>VLOOKUP(A78,[1]CPS!A77:AU261,39,FALSE)</f>
        <v>380-47-994000124451</v>
      </c>
      <c r="AE78" s="21" t="str">
        <f>VLOOKUP(A78,[1]CPS!A77:AU261,36,FALSE)</f>
        <v>PNN Amacayacu</v>
      </c>
      <c r="AF78" s="22" t="s">
        <v>77</v>
      </c>
      <c r="AG78" s="22" t="s">
        <v>73</v>
      </c>
      <c r="AH78" s="38">
        <f>VLOOKUP(A78,[1]CPS!A77:AU261,41,FALSE)</f>
        <v>51935320</v>
      </c>
      <c r="AI78" s="21" t="str">
        <f>VLOOKUP(A78,[1]CPS!A77:AU261,29,FALSE)</f>
        <v>ELIANA MARTINEZ RUEDA</v>
      </c>
      <c r="AJ78" s="35">
        <f>VLOOKUP(A78,[1]CPS!A77:AH261,34,FALSE)</f>
        <v>311</v>
      </c>
      <c r="AL78" s="94">
        <f>VLOOKUP(A78,[1]CPS!A77:AU261,40,FALSE)</f>
        <v>44588</v>
      </c>
      <c r="AM78" s="95">
        <f>VLOOKUP(A78,[1]CPS!A77:AU261,44,FALSE)</f>
        <v>44589</v>
      </c>
      <c r="AN78" s="22" t="s">
        <v>78</v>
      </c>
      <c r="AO78" s="22">
        <v>0</v>
      </c>
      <c r="AP78" s="42">
        <v>0</v>
      </c>
      <c r="AQ78" s="43"/>
      <c r="AR78" s="44">
        <v>0</v>
      </c>
      <c r="AT78" s="96">
        <f>VLOOKUP(A78,[1]CPS!A77:AU261,25,FALSE)</f>
        <v>44588</v>
      </c>
      <c r="AU78" s="96">
        <f>VLOOKUP(A78,[1]CPS!A77:AU261,26,FALSE)</f>
        <v>44901</v>
      </c>
      <c r="AV78" s="97"/>
      <c r="AW78" s="22" t="s">
        <v>79</v>
      </c>
      <c r="AZ78" s="22" t="s">
        <v>79</v>
      </c>
      <c r="BA78" s="22">
        <v>0</v>
      </c>
      <c r="BE78" s="98"/>
      <c r="BF78" s="99">
        <f t="shared" si="3"/>
        <v>55930000</v>
      </c>
      <c r="BG78" s="100" t="str">
        <f>VLOOKUP(A78,[1]CPS!A77:AU261,2,FALSE)</f>
        <v>CAROL ANGELICA CERCADO</v>
      </c>
      <c r="BH78" s="21" t="str">
        <f>VLOOKUP(A78,[1]CPS!A77:AU261,42,FALSE)</f>
        <v>https://www.secop.gov.co/CO1ContractsManagement/Tendering/ProcurementContractEdit/View?docUniqueIdentifier=CO1.PCCNTR.3424080</v>
      </c>
      <c r="BI78" s="22" t="s">
        <v>80</v>
      </c>
      <c r="BK78" s="51" t="str">
        <f>VLOOKUP(A78,[1]CPS!A77:AU261,33,FALSE)</f>
        <v>https://community.secop.gov.co/Public/Tendering/ContractNoticePhases/View?PPI=CO1.PPI.16941651&amp;isFromPublicArea=True&amp;isModal=False</v>
      </c>
      <c r="BO78" s="53" t="s">
        <v>81</v>
      </c>
    </row>
    <row r="79" spans="1:67" ht="15" customHeight="1">
      <c r="A79" s="21">
        <v>78</v>
      </c>
      <c r="B79" s="22" t="s">
        <v>159</v>
      </c>
      <c r="C79" s="23" t="s">
        <v>68</v>
      </c>
      <c r="D79" s="24" t="str">
        <f>VLOOKUP(A79,[1]CPS!A78:AG262,3,FALSE)</f>
        <v>CD-DTAM NACION-CPS No. 078 - 2022</v>
      </c>
      <c r="E79" s="25">
        <v>78</v>
      </c>
      <c r="F79" s="21" t="str">
        <f>VLOOKUP(A79,[1]CPS!A78:AG262,4,FALSE)</f>
        <v>HÉCTOR HERNÁN ACOSTA USECHE</v>
      </c>
      <c r="G79" s="90">
        <f>VLOOKUP(A79,[1]CPS!A78:AU262,43,FALSE)</f>
        <v>44587</v>
      </c>
      <c r="H79" s="21" t="str">
        <f>VLOOKUP(A79,[1]CPS!A78:AG262,9,FALSE)</f>
        <v>Prestar servicios profesionales en el componente de sistemas de información geográfica, así como brindar orientación y soporte a las áreas protegidas en la utilización de plataformas de sensores remotos y cartografía de acuerdo a los lineamientos establecidos por Parques Nacionales Naturales de Colombia</v>
      </c>
      <c r="I79" s="91" t="s">
        <v>69</v>
      </c>
      <c r="J79" s="22" t="s">
        <v>70</v>
      </c>
      <c r="K79" s="25" t="s">
        <v>71</v>
      </c>
      <c r="L79" s="21">
        <f>VLOOKUP(A79,[1]CPS!A78:AG262,16,FALSE)</f>
        <v>12622</v>
      </c>
      <c r="M79" s="21">
        <f>VLOOKUP(A79,[1]CPS!A78:AG262,18,FALSE)</f>
        <v>10322</v>
      </c>
      <c r="N79" s="29">
        <f>VLOOKUP(A79,[1]CPS!A78:AG262,19,FALSE)</f>
        <v>44587</v>
      </c>
      <c r="O79" s="21" t="str">
        <f>VLOOKUP(A79,[1]CPS!A78:AU262,46,FALSE)</f>
        <v>ADMINISTRACION</v>
      </c>
      <c r="P79" s="30">
        <f>VLOOKUP(A79,[1]CPS!A78:AG262,13,FALSE)</f>
        <v>5700000</v>
      </c>
      <c r="Q79" s="92">
        <f>VLOOKUP(A79,[1]CPS!A78:AG262,12,FALSE)</f>
        <v>62510000</v>
      </c>
      <c r="S79" s="22" t="s">
        <v>72</v>
      </c>
      <c r="T79" s="22" t="s">
        <v>73</v>
      </c>
      <c r="U79" s="93">
        <f>VLOOKUP(A79,[1]CPS!A78:AG262,5,FALSE)</f>
        <v>80274148</v>
      </c>
      <c r="V79" s="34" t="s">
        <v>74</v>
      </c>
      <c r="W79" s="21" t="s">
        <v>75</v>
      </c>
      <c r="X79" s="35" t="s">
        <v>71</v>
      </c>
      <c r="Y79" s="21" t="str">
        <f t="shared" si="2"/>
        <v>HÉCTOR HERNÁN ACOSTA USECHE</v>
      </c>
      <c r="Z79" s="21" t="str">
        <f>VLOOKUP(A79,[1]CPS!A78:AU262,35,FALSE)</f>
        <v>1 PÓLIZA</v>
      </c>
      <c r="AA79" s="35" t="str">
        <f>VLOOKUP(A79,[1]CPS!A78:AU262,37,FALSE)</f>
        <v>12 SEGUROS DEL ESTADO</v>
      </c>
      <c r="AB79" s="36" t="s">
        <v>76</v>
      </c>
      <c r="AC79" s="90">
        <f>VLOOKUP(A79,[1]CPS!A78:AU262,38,FALSE)</f>
        <v>44587</v>
      </c>
      <c r="AD79" s="35" t="str">
        <f>VLOOKUP(A79,[1]CPS!A78:AU262,39,FALSE)</f>
        <v>14-46-101069111</v>
      </c>
      <c r="AE79" s="21" t="str">
        <f>VLOOKUP(A79,[1]CPS!A78:AU262,36,FALSE)</f>
        <v>Dirección Territorial Amazonía</v>
      </c>
      <c r="AF79" s="22" t="s">
        <v>77</v>
      </c>
      <c r="AG79" s="22" t="s">
        <v>73</v>
      </c>
      <c r="AH79" s="38">
        <f>VLOOKUP(A79,[1]CPS!A78:AU262,41,FALSE)</f>
        <v>91297841</v>
      </c>
      <c r="AI79" s="21" t="str">
        <f>VLOOKUP(A79,[1]CPS!A78:AU262,29,FALSE)</f>
        <v>NANCY ESPERANZA RIVERA VEGA</v>
      </c>
      <c r="AJ79" s="35">
        <f>VLOOKUP(A79,[1]CPS!A78:AH262,34,FALSE)</f>
        <v>329</v>
      </c>
      <c r="AL79" s="94">
        <f>VLOOKUP(A79,[1]CPS!A78:AU262,40,FALSE)</f>
        <v>44587</v>
      </c>
      <c r="AM79" s="95">
        <f>VLOOKUP(A79,[1]CPS!A78:AU262,44,FALSE)</f>
        <v>44587</v>
      </c>
      <c r="AN79" s="22" t="s">
        <v>78</v>
      </c>
      <c r="AO79" s="22">
        <v>0</v>
      </c>
      <c r="AP79" s="42">
        <v>0</v>
      </c>
      <c r="AQ79" s="43"/>
      <c r="AR79" s="44">
        <v>0</v>
      </c>
      <c r="AT79" s="96">
        <f>VLOOKUP(A79,[1]CPS!A78:AU262,25,FALSE)</f>
        <v>44589</v>
      </c>
      <c r="AU79" s="96">
        <f>VLOOKUP(A79,[1]CPS!A78:AU262,26,FALSE)</f>
        <v>44920</v>
      </c>
      <c r="AV79" s="97"/>
      <c r="AW79" s="22" t="s">
        <v>79</v>
      </c>
      <c r="AZ79" s="22" t="s">
        <v>79</v>
      </c>
      <c r="BA79" s="22">
        <v>0</v>
      </c>
      <c r="BE79" s="98"/>
      <c r="BF79" s="99">
        <f t="shared" si="3"/>
        <v>62510000</v>
      </c>
      <c r="BG79" s="100" t="str">
        <f>VLOOKUP(A79,[1]CPS!A78:AU262,2,FALSE)</f>
        <v>LAURA CAROLINA CORREA RAMIREZ</v>
      </c>
      <c r="BH79" s="21" t="str">
        <f>VLOOKUP(A79,[1]CPS!A78:AU262,42,FALSE)</f>
        <v>https://www.secop.gov.co/CO1ContractsManagement/Tendering/ProcurementContractEdit/View?docUniqueIdentifier=CO1.PCCNTR.3434849</v>
      </c>
      <c r="BI79" s="22" t="s">
        <v>80</v>
      </c>
      <c r="BK79" s="51" t="str">
        <f>VLOOKUP(A79,[1]CPS!A78:AU262,33,FALSE)</f>
        <v>https://www.secop.gov.co/CO1ContractsManagement/Tendering/ProcurementContractEdit/View?docUniqueIdentifier=CO1.PCCNTR.3424080&amp;awardUniqueIdentifier=&amp;buyerDossierUniqueIdentifier=CO1.BDOS.2713193&amp;id=1677853&amp;prevCtxUrl=https%3a%2f%2fwww.secop.gov.co%2fCO1BusinessLine%2fTendering%2fBuyerDossierWorkspace%2fIndex%3fsortingState%3dLastModifiedDESC%26showAdvancedSearch%3dFalse%26showAdvancedSearchFields%3dFalse%26selectedDossier%3dCO1.BDOS.2713193%26selectedRequest%3dCO1.REQ.2787479%26&amp;prevCtxLbl=Procesos+de+la+Entidad+Estatal</v>
      </c>
      <c r="BO79" s="53" t="s">
        <v>81</v>
      </c>
    </row>
    <row r="80" spans="1:67" ht="15" customHeight="1">
      <c r="A80" s="21">
        <v>79</v>
      </c>
      <c r="B80" s="22" t="s">
        <v>160</v>
      </c>
      <c r="C80" s="23" t="s">
        <v>68</v>
      </c>
      <c r="D80" s="24" t="str">
        <f>VLOOKUP(A80,[1]CPS!A79:AG263,3,FALSE)</f>
        <v>CD-DTAM NACION-CPS No. 079 - 2022</v>
      </c>
      <c r="E80" s="25">
        <v>79</v>
      </c>
      <c r="F80" s="21" t="str">
        <f>VLOOKUP(A80,[1]CPS!A79:AG263,4,FALSE)</f>
        <v>HUGO ERNESTO CARVAJAL TRIANA</v>
      </c>
      <c r="G80" s="90">
        <f>VLOOKUP(A80,[1]CPS!A79:AU263,43,FALSE)</f>
        <v>44587</v>
      </c>
      <c r="H80" s="21" t="str">
        <f>VLOOKUP(A80,[1]CPS!A79:AG263,9,FALSE)</f>
        <v>Prestar servicios profesionales a la línea de Autoridad Ambiental y gestión del riesgo de desastres en el marco de los lineamientos establecidos por Parques Nacionales Naturales de Colombia</v>
      </c>
      <c r="I80" s="91" t="s">
        <v>69</v>
      </c>
      <c r="J80" s="22" t="s">
        <v>70</v>
      </c>
      <c r="K80" s="25" t="s">
        <v>71</v>
      </c>
      <c r="L80" s="21">
        <f>VLOOKUP(A80,[1]CPS!A79:AG263,16,FALSE)</f>
        <v>12522</v>
      </c>
      <c r="M80" s="21">
        <f>VLOOKUP(A80,[1]CPS!A79:AG263,18,FALSE)</f>
        <v>10922</v>
      </c>
      <c r="N80" s="29">
        <f>VLOOKUP(A80,[1]CPS!A79:AG263,19,FALSE)</f>
        <v>44587</v>
      </c>
      <c r="O80" s="21" t="str">
        <f>VLOOKUP(A80,[1]CPS!A79:AU263,46,FALSE)</f>
        <v>ADMINISTRACION</v>
      </c>
      <c r="P80" s="30">
        <f>VLOOKUP(A80,[1]CPS!A79:AG263,13,FALSE)</f>
        <v>5700000</v>
      </c>
      <c r="Q80" s="92">
        <f>VLOOKUP(A80,[1]CPS!A79:AG263,12,FALSE)</f>
        <v>62510000</v>
      </c>
      <c r="S80" s="22" t="s">
        <v>72</v>
      </c>
      <c r="T80" s="22" t="s">
        <v>73</v>
      </c>
      <c r="U80" s="93">
        <f>VLOOKUP(A80,[1]CPS!A79:AG263,5,FALSE)</f>
        <v>1110455494</v>
      </c>
      <c r="V80" s="34" t="s">
        <v>74</v>
      </c>
      <c r="W80" s="21" t="s">
        <v>75</v>
      </c>
      <c r="X80" s="35" t="s">
        <v>71</v>
      </c>
      <c r="Y80" s="21" t="str">
        <f t="shared" si="2"/>
        <v>HUGO ERNESTO CARVAJAL TRIANA</v>
      </c>
      <c r="Z80" s="21" t="str">
        <f>VLOOKUP(A80,[1]CPS!A79:AU263,35,FALSE)</f>
        <v>1 PÓLIZA</v>
      </c>
      <c r="AA80" s="35" t="str">
        <f>VLOOKUP(A80,[1]CPS!A79:AU263,37,FALSE)</f>
        <v>12 SEGUROS DEL ESTADO</v>
      </c>
      <c r="AB80" s="36" t="s">
        <v>76</v>
      </c>
      <c r="AC80" s="90">
        <f>VLOOKUP(A80,[1]CPS!A79:AU263,38,FALSE)</f>
        <v>44587</v>
      </c>
      <c r="AD80" s="35" t="str">
        <f>VLOOKUP(A80,[1]CPS!A79:AU263,39,FALSE)</f>
        <v>14-46-101069342</v>
      </c>
      <c r="AE80" s="21" t="str">
        <f>VLOOKUP(A80,[1]CPS!A79:AU263,36,FALSE)</f>
        <v>Dirección Territorial Amazonía</v>
      </c>
      <c r="AF80" s="22" t="s">
        <v>77</v>
      </c>
      <c r="AG80" s="22" t="s">
        <v>73</v>
      </c>
      <c r="AH80" s="38">
        <f>VLOOKUP(A80,[1]CPS!A79:AU263,41,FALSE)</f>
        <v>91297841</v>
      </c>
      <c r="AI80" s="21" t="str">
        <f>VLOOKUP(A80,[1]CPS!A79:AU263,29,FALSE)</f>
        <v>NANCY ESPERANZA RIVERA VEGA</v>
      </c>
      <c r="AJ80" s="35">
        <f>VLOOKUP(A80,[1]CPS!A79:AH263,34,FALSE)</f>
        <v>329</v>
      </c>
      <c r="AL80" s="94">
        <f>VLOOKUP(A80,[1]CPS!A79:AU263,40,FALSE)</f>
        <v>44588</v>
      </c>
      <c r="AM80" s="95">
        <f>VLOOKUP(A80,[1]CPS!A79:AU263,44,FALSE)</f>
        <v>44588</v>
      </c>
      <c r="AN80" s="22" t="s">
        <v>78</v>
      </c>
      <c r="AO80" s="22">
        <v>0</v>
      </c>
      <c r="AP80" s="42">
        <v>0</v>
      </c>
      <c r="AQ80" s="43"/>
      <c r="AR80" s="44">
        <v>0</v>
      </c>
      <c r="AT80" s="96">
        <f>VLOOKUP(A80,[1]CPS!A79:AU263,25,FALSE)</f>
        <v>44587</v>
      </c>
      <c r="AU80" s="96">
        <f>VLOOKUP(A80,[1]CPS!A79:AU263,26,FALSE)</f>
        <v>44919</v>
      </c>
      <c r="AV80" s="97"/>
      <c r="AW80" s="22" t="s">
        <v>79</v>
      </c>
      <c r="AZ80" s="22" t="s">
        <v>79</v>
      </c>
      <c r="BA80" s="22">
        <v>0</v>
      </c>
      <c r="BE80" s="98"/>
      <c r="BF80" s="99">
        <f t="shared" si="3"/>
        <v>62510000</v>
      </c>
      <c r="BG80" s="100" t="str">
        <f>VLOOKUP(A80,[1]CPS!A79:AU263,2,FALSE)</f>
        <v>LAURA CAROLINA CORREA RAMIREZ</v>
      </c>
      <c r="BH80" s="21" t="str">
        <f>VLOOKUP(A80,[1]CPS!A79:AU263,42,FALSE)</f>
        <v>https://www.secop.gov.co/CO1ContractsManagement/Tendering/ProcurementContractEdit/View?docUniqueIdentifier=CO1.PCCNTR.3435181</v>
      </c>
      <c r="BI80" s="22" t="s">
        <v>80</v>
      </c>
      <c r="BK80" s="51" t="str">
        <f>VLOOKUP(A80,[1]CPS!A79:AU263,33,FALSE)</f>
        <v>https://community.secop.gov.co/Public/Tendering/OpportunityDetail/Index?noticeUID=CO1.NTC.2721821&amp;isFromPublicArea=True&amp;isModal=False</v>
      </c>
      <c r="BO80" s="53" t="s">
        <v>81</v>
      </c>
    </row>
    <row r="81" spans="1:67" ht="15" customHeight="1">
      <c r="A81" s="21">
        <v>80</v>
      </c>
      <c r="B81" s="22" t="s">
        <v>161</v>
      </c>
      <c r="C81" s="23" t="s">
        <v>68</v>
      </c>
      <c r="D81" s="24" t="str">
        <f>VLOOKUP(A81,[1]CPS!A80:AG264,3,FALSE)</f>
        <v>CD-DTAM NACION-CPS No. 080 - 2022</v>
      </c>
      <c r="E81" s="25">
        <v>80</v>
      </c>
      <c r="F81" s="21" t="str">
        <f>VLOOKUP(A81,[1]CPS!A80:AG264,4,FALSE)</f>
        <v>OSCAR MAURICIO JAIMES SÁNCHEZ</v>
      </c>
      <c r="G81" s="90">
        <f>VLOOKUP(A81,[1]CPS!A80:AU264,43,FALSE)</f>
        <v>44587</v>
      </c>
      <c r="H81" s="21" t="str">
        <f>VLOOKUP(A81,[1]CPS!A80:AG264,9,FALSE)</f>
        <v>Prestar servicios profesionales para orientar procesos de restauración ecológica, la suscripción y sostenimiento de acuerdos para la conservación y el apoyo a las acciones para el manejo y solución de conflictos de uso y ocupación con comunidades campesinas al interior de los parques adscritos a la Dirección Territorial Amazonía de acuerdo a los lineamientos de Parques Nacionales de Colombia</v>
      </c>
      <c r="I81" s="91" t="s">
        <v>69</v>
      </c>
      <c r="J81" s="22" t="s">
        <v>70</v>
      </c>
      <c r="K81" s="25" t="s">
        <v>71</v>
      </c>
      <c r="L81" s="21">
        <f>VLOOKUP(A81,[1]CPS!A80:AG264,16,FALSE)</f>
        <v>12722</v>
      </c>
      <c r="M81" s="21">
        <f>VLOOKUP(A81,[1]CPS!A80:AG264,18,FALSE)</f>
        <v>10122</v>
      </c>
      <c r="N81" s="29">
        <f>VLOOKUP(A81,[1]CPS!A80:AG264,19,FALSE)</f>
        <v>44587</v>
      </c>
      <c r="O81" s="21" t="str">
        <f>VLOOKUP(A81,[1]CPS!A80:AU264,46,FALSE)</f>
        <v>ADMINISTRACION</v>
      </c>
      <c r="P81" s="30">
        <f>VLOOKUP(A81,[1]CPS!A80:AG264,13,FALSE)</f>
        <v>5700000</v>
      </c>
      <c r="Q81" s="92">
        <f>VLOOKUP(A81,[1]CPS!A80:AG264,12,FALSE)</f>
        <v>62510000</v>
      </c>
      <c r="S81" s="22" t="s">
        <v>72</v>
      </c>
      <c r="T81" s="22" t="s">
        <v>73</v>
      </c>
      <c r="U81" s="93">
        <f>VLOOKUP(A81,[1]CPS!A80:AG264,5,FALSE)</f>
        <v>1110457351</v>
      </c>
      <c r="V81" s="34" t="s">
        <v>74</v>
      </c>
      <c r="W81" s="21" t="s">
        <v>75</v>
      </c>
      <c r="X81" s="35" t="s">
        <v>71</v>
      </c>
      <c r="Y81" s="21" t="str">
        <f t="shared" si="2"/>
        <v>OSCAR MAURICIO JAIMES SÁNCHEZ</v>
      </c>
      <c r="Z81" s="21" t="str">
        <f>VLOOKUP(A81,[1]CPS!A80:AU264,35,FALSE)</f>
        <v>1 PÓLIZA</v>
      </c>
      <c r="AA81" s="35" t="str">
        <f>VLOOKUP(A81,[1]CPS!A80:AU264,37,FALSE)</f>
        <v>12 SEGUROS DEL ESTADO</v>
      </c>
      <c r="AB81" s="36" t="s">
        <v>76</v>
      </c>
      <c r="AC81" s="90">
        <f>VLOOKUP(A81,[1]CPS!A80:AU264,38,FALSE)</f>
        <v>44587</v>
      </c>
      <c r="AD81" s="35" t="str">
        <f>VLOOKUP(A81,[1]CPS!A80:AU264,39,FALSE)</f>
        <v>14-46-101069119</v>
      </c>
      <c r="AE81" s="21" t="str">
        <f>VLOOKUP(A81,[1]CPS!A80:AU264,36,FALSE)</f>
        <v>Dirección Territorial Amazonía</v>
      </c>
      <c r="AF81" s="22" t="s">
        <v>77</v>
      </c>
      <c r="AG81" s="22" t="s">
        <v>73</v>
      </c>
      <c r="AH81" s="38">
        <f>VLOOKUP(A81,[1]CPS!A80:AU264,41,FALSE)</f>
        <v>91297841</v>
      </c>
      <c r="AI81" s="21" t="str">
        <f>VLOOKUP(A81,[1]CPS!A80:AU264,29,FALSE)</f>
        <v>NANCY ESPERANZA RIVERA VEGA</v>
      </c>
      <c r="AJ81" s="35">
        <f>VLOOKUP(A81,[1]CPS!A80:AH264,34,FALSE)</f>
        <v>329</v>
      </c>
      <c r="AL81" s="94">
        <f>VLOOKUP(A81,[1]CPS!A80:AU264,40,FALSE)</f>
        <v>44587</v>
      </c>
      <c r="AM81" s="95">
        <f>VLOOKUP(A81,[1]CPS!A80:AU264,44,FALSE)</f>
        <v>44588</v>
      </c>
      <c r="AN81" s="22" t="s">
        <v>78</v>
      </c>
      <c r="AO81" s="22">
        <v>0</v>
      </c>
      <c r="AP81" s="42">
        <v>0</v>
      </c>
      <c r="AQ81" s="43"/>
      <c r="AR81" s="44">
        <v>0</v>
      </c>
      <c r="AT81" s="96">
        <f>VLOOKUP(A81,[1]CPS!A80:AU264,25,FALSE)</f>
        <v>44587</v>
      </c>
      <c r="AU81" s="96">
        <f>VLOOKUP(A81,[1]CPS!A80:AU264,26,FALSE)</f>
        <v>44919</v>
      </c>
      <c r="AV81" s="97"/>
      <c r="AW81" s="22" t="s">
        <v>79</v>
      </c>
      <c r="AZ81" s="22" t="s">
        <v>79</v>
      </c>
      <c r="BA81" s="22">
        <v>0</v>
      </c>
      <c r="BE81" s="98"/>
      <c r="BF81" s="99">
        <f t="shared" si="3"/>
        <v>62510000</v>
      </c>
      <c r="BG81" s="100" t="str">
        <f>VLOOKUP(A81,[1]CPS!A80:AU264,2,FALSE)</f>
        <v>LAURA CAROLINA CORREA RAMIREZ</v>
      </c>
      <c r="BH81" s="21" t="str">
        <f>VLOOKUP(A81,[1]CPS!A80:AU264,42,FALSE)</f>
        <v>https://www.secop.gov.co/CO1ContractsManagement/Tendering/ProcurementContractEdit/View?docUniqueIdentifier=CO1.PCCNTR.3435097</v>
      </c>
      <c r="BI81" s="22" t="s">
        <v>80</v>
      </c>
      <c r="BK81" s="51" t="str">
        <f>VLOOKUP(A81,[1]CPS!A80:AU264,33,FALSE)</f>
        <v>https://community.secop.gov.co/Public/Tendering/OpportunityDetail/Index?noticeUID=CO1.NTC.2721596&amp;isFromPublicArea=True&amp;isModal=False</v>
      </c>
      <c r="BO81" s="53" t="s">
        <v>81</v>
      </c>
    </row>
    <row r="82" spans="1:67" ht="15" customHeight="1">
      <c r="A82" s="21">
        <v>81</v>
      </c>
      <c r="B82" s="22" t="s">
        <v>162</v>
      </c>
      <c r="C82" s="23" t="s">
        <v>68</v>
      </c>
      <c r="D82" s="24" t="str">
        <f>VLOOKUP(A82,[1]CPS!A81:AG265,3,FALSE)</f>
        <v>CD-DTAM NACION-CPS No. 081 - 2022</v>
      </c>
      <c r="E82" s="25">
        <v>81</v>
      </c>
      <c r="F82" s="21" t="str">
        <f>VLOOKUP(A82,[1]CPS!A81:AG265,4,FALSE)</f>
        <v>FELIX ANDRES PINZÓN SALINAS</v>
      </c>
      <c r="G82" s="90">
        <f>VLOOKUP(A82,[1]CPS!A81:AU265,43,FALSE)</f>
        <v>44586</v>
      </c>
      <c r="H82" s="21" t="str">
        <f>VLOOKUP(A82,[1]CPS!A81:AG265,9,FALSE)</f>
        <v>Prestar servicios profesionales en la DTAM, para ejecutar las actividades del
área de procesos corporativos en los aplicativos que disponga la Entidad para
tal fin, de conformidad la normatividad vigente, así como los procesos y
procedimientos establecidos de acuerdo el sistema integrado de gestión.</v>
      </c>
      <c r="I82" s="91" t="s">
        <v>69</v>
      </c>
      <c r="J82" s="22" t="s">
        <v>70</v>
      </c>
      <c r="K82" s="25" t="s">
        <v>71</v>
      </c>
      <c r="L82" s="21">
        <f>VLOOKUP(A82,[1]CPS!A81:AG265,16,FALSE)</f>
        <v>13822</v>
      </c>
      <c r="M82" s="21">
        <f>VLOOKUP(A82,[1]CPS!A81:AG265,18,FALSE)</f>
        <v>9822</v>
      </c>
      <c r="N82" s="29">
        <f>VLOOKUP(A82,[1]CPS!A81:AG265,19,FALSE)</f>
        <v>44585</v>
      </c>
      <c r="O82" s="21" t="str">
        <f>VLOOKUP(A82,[1]CPS!A81:AU265,46,FALSE)</f>
        <v>FORTALECIMIENTO</v>
      </c>
      <c r="P82" s="30">
        <f>VLOOKUP(A82,[1]CPS!A81:AG265,13,FALSE)</f>
        <v>3000000</v>
      </c>
      <c r="Q82" s="92">
        <f>VLOOKUP(A82,[1]CPS!A81:AG265,12,FALSE)</f>
        <v>33000000</v>
      </c>
      <c r="S82" s="22" t="s">
        <v>72</v>
      </c>
      <c r="T82" s="22" t="s">
        <v>73</v>
      </c>
      <c r="U82" s="93">
        <f>VLOOKUP(A82,[1]CPS!A81:AG265,5,FALSE)</f>
        <v>1075664649</v>
      </c>
      <c r="V82" s="34" t="s">
        <v>74</v>
      </c>
      <c r="W82" s="21" t="s">
        <v>75</v>
      </c>
      <c r="X82" s="35" t="s">
        <v>71</v>
      </c>
      <c r="Y82" s="21" t="str">
        <f t="shared" si="2"/>
        <v>FELIX ANDRES PINZÓN SALINAS</v>
      </c>
      <c r="Z82" s="21" t="str">
        <f>VLOOKUP(A82,[1]CPS!A81:AU265,35,FALSE)</f>
        <v>6 NO CONSTITUYÓ GARANTÍAS</v>
      </c>
      <c r="AA82" s="35" t="str">
        <f>VLOOKUP(A82,[1]CPS!A81:AU265,37,FALSE)</f>
        <v>N/A</v>
      </c>
      <c r="AB82" s="55" t="s">
        <v>71</v>
      </c>
      <c r="AC82" s="56" t="str">
        <f>VLOOKUP(A82,[1]CPS!A81:AU265,38,FALSE)</f>
        <v>N/A</v>
      </c>
      <c r="AD82" s="55" t="str">
        <f>VLOOKUP(A82,[1]CPS!A81:AU265,39,FALSE)</f>
        <v>N/A</v>
      </c>
      <c r="AE82" s="21" t="str">
        <f>VLOOKUP(A82,[1]CPS!A81:AU265,36,FALSE)</f>
        <v>Dirección Territorial Amazonía</v>
      </c>
      <c r="AF82" s="22" t="s">
        <v>77</v>
      </c>
      <c r="AG82" s="22" t="s">
        <v>73</v>
      </c>
      <c r="AH82" s="38">
        <f>VLOOKUP(A82,[1]CPS!A81:AU265,41,FALSE)</f>
        <v>41674698</v>
      </c>
      <c r="AI82" s="21" t="str">
        <f>VLOOKUP(A82,[1]CPS!A81:AU265,29,FALSE)</f>
        <v>CLAUDIA OFELIA MANRIQUE ROA</v>
      </c>
      <c r="AJ82" s="35">
        <f>VLOOKUP(A82,[1]CPS!A81:AH265,34,FALSE)</f>
        <v>329</v>
      </c>
      <c r="AL82" s="94" t="str">
        <f>VLOOKUP(A82,[1]CPS!A81:AU265,40,FALSE)</f>
        <v>N/A</v>
      </c>
      <c r="AM82" s="95">
        <f>VLOOKUP(A82,[1]CPS!A81:AU265,44,FALSE)</f>
        <v>44596</v>
      </c>
      <c r="AN82" s="22" t="s">
        <v>78</v>
      </c>
      <c r="AO82" s="22">
        <v>0</v>
      </c>
      <c r="AP82" s="42">
        <v>0</v>
      </c>
      <c r="AQ82" s="43"/>
      <c r="AR82" s="44">
        <v>0</v>
      </c>
      <c r="AT82" s="96">
        <f>VLOOKUP(A82,[1]CPS!A81:AU265,25,FALSE)</f>
        <v>44588</v>
      </c>
      <c r="AU82" s="96">
        <f>VLOOKUP(A82,[1]CPS!A81:AU265,26,FALSE)</f>
        <v>44919</v>
      </c>
      <c r="AV82" s="97"/>
      <c r="AW82" s="22" t="s">
        <v>79</v>
      </c>
      <c r="AZ82" s="22" t="s">
        <v>79</v>
      </c>
      <c r="BA82" s="22">
        <v>0</v>
      </c>
      <c r="BE82" s="98"/>
      <c r="BF82" s="99">
        <f t="shared" si="3"/>
        <v>33000000</v>
      </c>
      <c r="BG82" s="100" t="str">
        <f>VLOOKUP(A82,[1]CPS!A81:AU265,2,FALSE)</f>
        <v>NORYLY AGUIRRE OTALORA</v>
      </c>
      <c r="BH82" s="21" t="str">
        <f>VLOOKUP(A82,[1]CPS!A81:AU265,42,FALSE)</f>
        <v>https://www.secop.gov.co/CO1ContractsManagement/Tendering/ProcurementContractEdit/View?docUniqueIdentifier=CO1.PCCNTR.3425514</v>
      </c>
      <c r="BI82" s="22" t="s">
        <v>80</v>
      </c>
      <c r="BK82" s="51" t="str">
        <f>VLOOKUP(A82,[1]CPS!A81:AU265,33,FALSE)</f>
        <v>https://community.secop.gov.co/Public/Tendering/OpportunityDetail/Index?noticeUID=CO1.NTC.2721937&amp;isFromPublicArea=True&amp;isModal=False</v>
      </c>
      <c r="BO82" s="53" t="s">
        <v>81</v>
      </c>
    </row>
    <row r="83" spans="1:67" ht="15" customHeight="1">
      <c r="A83" s="21">
        <v>82</v>
      </c>
      <c r="B83" s="22" t="s">
        <v>163</v>
      </c>
      <c r="C83" s="23" t="s">
        <v>68</v>
      </c>
      <c r="D83" s="24" t="str">
        <f>VLOOKUP(A83,[1]CPS!A82:AG266,3,FALSE)</f>
        <v>CD-DTAM NACION-CPS No. 082 - 2022</v>
      </c>
      <c r="E83" s="25">
        <v>82</v>
      </c>
      <c r="F83" s="21" t="str">
        <f>VLOOKUP(A83,[1]CPS!A82:AG266,4,FALSE)</f>
        <v>JOEL MURAYARI SINARAHUA</v>
      </c>
      <c r="G83" s="90">
        <f>VLOOKUP(A83,[1]CPS!A82:AU266,43,FALSE)</f>
        <v>44587</v>
      </c>
      <c r="H83" s="21" t="str">
        <f>VLOOKUP(A83,[1]CPS!A82:AG266,9,FALSE)</f>
        <v>Prestar servicios asistenciales y de apoyo operativos al sur del PNN Amacayacu en el sector de Matamatá</v>
      </c>
      <c r="I83" s="91" t="s">
        <v>69</v>
      </c>
      <c r="J83" s="22" t="s">
        <v>70</v>
      </c>
      <c r="K83" s="25" t="s">
        <v>71</v>
      </c>
      <c r="L83" s="21">
        <f>VLOOKUP(A83,[1]CPS!A82:AG266,16,FALSE)</f>
        <v>5422</v>
      </c>
      <c r="M83" s="21">
        <f>VLOOKUP(A83,[1]CPS!A82:AG266,18,FALSE)</f>
        <v>12022</v>
      </c>
      <c r="N83" s="29">
        <f>VLOOKUP(A83,[1]CPS!A82:AG266,19,FALSE)</f>
        <v>44587</v>
      </c>
      <c r="O83" s="21" t="str">
        <f>VLOOKUP(A83,[1]CPS!A82:AU266,46,FALSE)</f>
        <v>ADMINISTRACION</v>
      </c>
      <c r="P83" s="30">
        <f>VLOOKUP(A83,[1]CPS!A82:AG266,13,FALSE)</f>
        <v>1412000</v>
      </c>
      <c r="Q83" s="92">
        <f>VLOOKUP(A83,[1]CPS!A82:AG266,12,FALSE)</f>
        <v>15532000</v>
      </c>
      <c r="S83" s="22" t="s">
        <v>72</v>
      </c>
      <c r="T83" s="22" t="s">
        <v>73</v>
      </c>
      <c r="U83" s="93">
        <f>VLOOKUP(A83,[1]CPS!A82:AG266,5,FALSE)</f>
        <v>1122270001</v>
      </c>
      <c r="V83" s="34" t="s">
        <v>74</v>
      </c>
      <c r="W83" s="21" t="s">
        <v>75</v>
      </c>
      <c r="X83" s="35" t="s">
        <v>71</v>
      </c>
      <c r="Y83" s="21" t="str">
        <f t="shared" si="2"/>
        <v>JOEL MURAYARI SINARAHUA</v>
      </c>
      <c r="Z83" s="21" t="str">
        <f>VLOOKUP(A83,[1]CPS!A82:AU266,35,FALSE)</f>
        <v>6 NO CONSTITUYÓ GARANTÍAS</v>
      </c>
      <c r="AA83" s="25" t="str">
        <f>VLOOKUP(A83,[1]CPS!A82:AU266,37,FALSE)</f>
        <v>N/A</v>
      </c>
      <c r="AB83" s="55" t="s">
        <v>71</v>
      </c>
      <c r="AC83" s="56" t="str">
        <f>VLOOKUP(A83,[1]CPS!A82:AU266,38,FALSE)</f>
        <v>N/A</v>
      </c>
      <c r="AD83" s="55" t="str">
        <f>VLOOKUP(A83,[1]CPS!A82:AU266,39,FALSE)</f>
        <v>N/A</v>
      </c>
      <c r="AE83" s="21" t="str">
        <f>VLOOKUP(A83,[1]CPS!A82:AU266,36,FALSE)</f>
        <v>PNN Amacayacu</v>
      </c>
      <c r="AF83" s="22" t="s">
        <v>77</v>
      </c>
      <c r="AG83" s="22" t="s">
        <v>73</v>
      </c>
      <c r="AH83" s="38">
        <f>VLOOKUP(A83,[1]CPS!A82:AU266,41,FALSE)</f>
        <v>51935320</v>
      </c>
      <c r="AI83" s="21" t="str">
        <f>VLOOKUP(A83,[1]CPS!A82:AU266,29,FALSE)</f>
        <v>ELIANA MARTINEZ RUEDA</v>
      </c>
      <c r="AJ83" s="35">
        <f>VLOOKUP(A83,[1]CPS!A82:AH266,34,FALSE)</f>
        <v>330</v>
      </c>
      <c r="AL83" s="94" t="str">
        <f>VLOOKUP(A83,[1]CPS!A82:AU266,40,FALSE)</f>
        <v>N/A</v>
      </c>
      <c r="AM83" s="95">
        <f>VLOOKUP(A83,[1]CPS!A82:AU266,44,FALSE)</f>
        <v>44588</v>
      </c>
      <c r="AN83" s="22" t="s">
        <v>78</v>
      </c>
      <c r="AO83" s="22">
        <v>0</v>
      </c>
      <c r="AP83" s="42">
        <v>0</v>
      </c>
      <c r="AQ83" s="43"/>
      <c r="AR83" s="44">
        <v>0</v>
      </c>
      <c r="AT83" s="96">
        <f>VLOOKUP(A83,[1]CPS!A82:AU266,25,FALSE)</f>
        <v>44587</v>
      </c>
      <c r="AU83" s="96">
        <f>VLOOKUP(A83,[1]CPS!A82:AU266,26,FALSE)</f>
        <v>0</v>
      </c>
      <c r="AV83" s="97"/>
      <c r="AW83" s="22" t="s">
        <v>79</v>
      </c>
      <c r="AZ83" s="22" t="s">
        <v>79</v>
      </c>
      <c r="BA83" s="22">
        <v>0</v>
      </c>
      <c r="BE83" s="98"/>
      <c r="BF83" s="99">
        <f t="shared" si="3"/>
        <v>15532000</v>
      </c>
      <c r="BG83" s="100" t="str">
        <f>VLOOKUP(A83,[1]CPS!A82:AU266,2,FALSE)</f>
        <v>CAROL ANGELICA CERCADO</v>
      </c>
      <c r="BH83" s="21" t="str">
        <f>VLOOKUP(A83,[1]CPS!A82:AU266,42,FALSE)</f>
        <v>https://www.secop.gov.co/CO1ContractsManagement/Tendering/ProcurementContractEdit/View?docUniqueIdentifier=CO1.PCCNTR.3440740</v>
      </c>
      <c r="BI83" s="22" t="s">
        <v>80</v>
      </c>
      <c r="BK83" s="51" t="str">
        <f>VLOOKUP(A83,[1]CPS!A82:AU266,33,FALSE)</f>
        <v>https://community.secop.gov.co/Public/Tendering/ContractNoticePhases/View?PPI=CO1.PPI.17145760&amp;isFromPublicArea=True&amp;isModal=False</v>
      </c>
      <c r="BO83" s="53" t="s">
        <v>81</v>
      </c>
    </row>
    <row r="84" spans="1:67" ht="15" customHeight="1">
      <c r="A84" s="21">
        <v>83</v>
      </c>
      <c r="B84" s="22" t="s">
        <v>164</v>
      </c>
      <c r="C84" s="23" t="s">
        <v>68</v>
      </c>
      <c r="D84" s="24" t="str">
        <f>VLOOKUP(A84,[1]CPS!A83:AG267,3,FALSE)</f>
        <v>CD-DTAM NACION-CPS No. 083 - 2022</v>
      </c>
      <c r="E84" s="25">
        <v>83</v>
      </c>
      <c r="F84" s="21" t="str">
        <f>VLOOKUP(A84,[1]CPS!A83:AG267,4,FALSE)</f>
        <v>DUBIAN ALEXANDER JORDAN BENITEZ</v>
      </c>
      <c r="G84" s="90">
        <f>VLOOKUP(A84,[1]CPS!A83:AU267,43,FALSE)</f>
        <v>44587</v>
      </c>
      <c r="H84" s="21" t="str">
        <f>VLOOKUP(A84,[1]CPS!A83:AG267,9,FALSE)</f>
        <v>Prestar servicios asistenciales y de apoyo a la gestión en actividades de regulación, uso y aprovechamiento de los recursos naturales para la protección del Parque Nacional Natural Amacayacu</v>
      </c>
      <c r="I84" s="91" t="s">
        <v>69</v>
      </c>
      <c r="J84" s="22" t="s">
        <v>70</v>
      </c>
      <c r="K84" s="25" t="s">
        <v>71</v>
      </c>
      <c r="L84" s="21">
        <f>VLOOKUP(A84,[1]CPS!A83:AG267,16,FALSE)</f>
        <v>5722</v>
      </c>
      <c r="M84" s="21">
        <f>VLOOKUP(A84,[1]CPS!A83:AG267,18,FALSE)</f>
        <v>12222</v>
      </c>
      <c r="N84" s="29">
        <f>VLOOKUP(A84,[1]CPS!A83:AG267,19,FALSE)</f>
        <v>44588</v>
      </c>
      <c r="O84" s="21" t="str">
        <f>VLOOKUP(A84,[1]CPS!A83:AU267,46,FALSE)</f>
        <v>ADMINISTRACION</v>
      </c>
      <c r="P84" s="30">
        <f>VLOOKUP(A84,[1]CPS!A83:AG267,13,FALSE)</f>
        <v>1412000</v>
      </c>
      <c r="Q84" s="92">
        <f>VLOOKUP(A84,[1]CPS!A83:AG267,12,FALSE)</f>
        <v>15532000</v>
      </c>
      <c r="S84" s="22" t="s">
        <v>72</v>
      </c>
      <c r="T84" s="22" t="s">
        <v>73</v>
      </c>
      <c r="U84" s="93">
        <f>VLOOKUP(A84,[1]CPS!A83:AG267,5,FALSE)</f>
        <v>1122270001</v>
      </c>
      <c r="V84" s="34" t="s">
        <v>74</v>
      </c>
      <c r="W84" s="21" t="s">
        <v>75</v>
      </c>
      <c r="X84" s="35" t="s">
        <v>71</v>
      </c>
      <c r="Y84" s="21" t="str">
        <f t="shared" si="2"/>
        <v>DUBIAN ALEXANDER JORDAN BENITEZ</v>
      </c>
      <c r="Z84" s="21" t="str">
        <f>VLOOKUP(A84,[1]CPS!A83:AU267,35,FALSE)</f>
        <v>6 NO CONSTITUYÓ GARANTÍAS</v>
      </c>
      <c r="AA84" s="25" t="str">
        <f>VLOOKUP(A84,[1]CPS!A83:AU267,37,FALSE)</f>
        <v>N/A</v>
      </c>
      <c r="AB84" s="55" t="s">
        <v>71</v>
      </c>
      <c r="AC84" s="56" t="str">
        <f>VLOOKUP(A84,[1]CPS!A83:AU267,38,FALSE)</f>
        <v>N/A</v>
      </c>
      <c r="AD84" s="55" t="str">
        <f>VLOOKUP(A84,[1]CPS!A83:AU267,39,FALSE)</f>
        <v>N/A</v>
      </c>
      <c r="AE84" s="21" t="str">
        <f>VLOOKUP(A84,[1]CPS!A83:AU267,36,FALSE)</f>
        <v>PNN Amacayacu</v>
      </c>
      <c r="AF84" s="22" t="s">
        <v>77</v>
      </c>
      <c r="AG84" s="22" t="s">
        <v>73</v>
      </c>
      <c r="AH84" s="38">
        <f>VLOOKUP(A84,[1]CPS!A83:AU267,41,FALSE)</f>
        <v>51935320</v>
      </c>
      <c r="AI84" s="21" t="str">
        <f>VLOOKUP(A84,[1]CPS!A83:AU267,29,FALSE)</f>
        <v>ELIANA MARTINEZ RUEDA</v>
      </c>
      <c r="AJ84" s="35">
        <f>VLOOKUP(A84,[1]CPS!A83:AH267,34,FALSE)</f>
        <v>330</v>
      </c>
      <c r="AL84" s="94" t="str">
        <f>VLOOKUP(A84,[1]CPS!A83:AU267,40,FALSE)</f>
        <v>N/A</v>
      </c>
      <c r="AM84" s="95">
        <f>VLOOKUP(A84,[1]CPS!A83:AU267,44,FALSE)</f>
        <v>44588</v>
      </c>
      <c r="AN84" s="22" t="s">
        <v>78</v>
      </c>
      <c r="AO84" s="22">
        <v>0</v>
      </c>
      <c r="AP84" s="42">
        <v>0</v>
      </c>
      <c r="AQ84" s="43"/>
      <c r="AR84" s="44">
        <v>0</v>
      </c>
      <c r="AT84" s="96">
        <f>VLOOKUP(A84,[1]CPS!A83:AU267,25,FALSE)</f>
        <v>44587</v>
      </c>
      <c r="AU84" s="96">
        <f>VLOOKUP(A84,[1]CPS!A83:AU267,26,FALSE)</f>
        <v>44920</v>
      </c>
      <c r="AV84" s="97"/>
      <c r="AW84" s="22" t="s">
        <v>79</v>
      </c>
      <c r="AZ84" s="22" t="s">
        <v>79</v>
      </c>
      <c r="BA84" s="22">
        <v>0</v>
      </c>
      <c r="BE84" s="98"/>
      <c r="BF84" s="99">
        <f t="shared" si="3"/>
        <v>15532000</v>
      </c>
      <c r="BG84" s="100" t="str">
        <f>VLOOKUP(A84,[1]CPS!A83:AU267,2,FALSE)</f>
        <v>CAROL ANGELICA CERCADO</v>
      </c>
      <c r="BH84" s="21" t="str">
        <f>VLOOKUP(A84,[1]CPS!A83:AU267,42,FALSE)</f>
        <v>https://www.secop.gov.co/CO1ContractsManagement/Tendering/ProcurementContractEdit/View?docUniqueIdentifier=CO1.PCCNTR.3459590</v>
      </c>
      <c r="BI84" s="22" t="s">
        <v>80</v>
      </c>
      <c r="BK84" s="51" t="str">
        <f>VLOOKUP(A84,[1]CPS!A83:AU267,33,FALSE)</f>
        <v>https://www.secop.gov.co/CO1ContractsManagement/Tendering/ProcurementContractEdit/View?docUniqueIdentifier=CO1.PCCNTR.3440740&amp;awardUniqueIdentifier=&amp;buyerDossierUniqueIdentifier=CO1.BDOS.2725395&amp;id=1693196&amp;prevCtxUrl=https%3a%2f%2fwww.secop.gov.co%2fCO1BusinessLine%2fTendering%2fBuyerDossierWorkspace%2fIndex%3fsortingState%3dLastModifiedDESC%26showAdvancedSearch%3dFalse%26showAdvancedSearchFields%3dFalse%26selectedDossier%3dCO1.BDOS.2725395%26selectedRequest%3dCO1.REQ.2802366%26&amp;prevCtxLbl=Procesos+de+la+Entidad+Estatal</v>
      </c>
      <c r="BO84" s="53" t="s">
        <v>81</v>
      </c>
    </row>
    <row r="85" spans="1:67" ht="15" customHeight="1">
      <c r="A85" s="21">
        <v>84</v>
      </c>
      <c r="B85" s="22" t="s">
        <v>165</v>
      </c>
      <c r="C85" s="23" t="s">
        <v>68</v>
      </c>
      <c r="D85" s="24" t="str">
        <f>VLOOKUP(A85,[1]CPS!A84:AG268,3,FALSE)</f>
        <v>CD-DTAM NACION-CPS No. 084 - 2022</v>
      </c>
      <c r="E85" s="25">
        <v>84</v>
      </c>
      <c r="F85" s="21" t="str">
        <f>VLOOKUP(A85,[1]CPS!A84:AG268,4,FALSE)</f>
        <v>ANA MELITA PANDURO RODRIGUEZ</v>
      </c>
      <c r="G85" s="90">
        <f>VLOOKUP(A85,[1]CPS!A84:AU268,43,FALSE)</f>
        <v>44587</v>
      </c>
      <c r="H85" s="21" t="str">
        <f>VLOOKUP(A85,[1]CPS!A84:AG268,9,FALSE)</f>
        <v>Prestar servicios asistenciales y de apoyo a la gestión en actividades de regulación, uso y aprovechamiento de los recursos naturales en el Parque Nacional Natural Amacayacu.</v>
      </c>
      <c r="I85" s="91" t="s">
        <v>69</v>
      </c>
      <c r="J85" s="22" t="s">
        <v>70</v>
      </c>
      <c r="K85" s="25" t="s">
        <v>71</v>
      </c>
      <c r="L85" s="21">
        <f>VLOOKUP(A85,[1]CPS!A84:AG268,16,FALSE)</f>
        <v>5622</v>
      </c>
      <c r="M85" s="21">
        <f>VLOOKUP(A85,[1]CPS!A84:AG268,18,FALSE)</f>
        <v>12122</v>
      </c>
      <c r="N85" s="29">
        <f>VLOOKUP(A85,[1]CPS!A84:AG268,19,FALSE)</f>
        <v>44588</v>
      </c>
      <c r="O85" s="21" t="str">
        <f>VLOOKUP(A85,[1]CPS!A84:AU268,46,FALSE)</f>
        <v>ADMINISTRACION</v>
      </c>
      <c r="P85" s="30">
        <f>VLOOKUP(A85,[1]CPS!A84:AG268,13,FALSE)</f>
        <v>1412000</v>
      </c>
      <c r="Q85" s="92">
        <f>VLOOKUP(A85,[1]CPS!A84:AG268,12,FALSE)</f>
        <v>15532000</v>
      </c>
      <c r="S85" s="22" t="s">
        <v>72</v>
      </c>
      <c r="T85" s="22" t="s">
        <v>73</v>
      </c>
      <c r="U85" s="93">
        <f>VLOOKUP(A85,[1]CPS!A84:AG268,5,FALSE)</f>
        <v>1122267142</v>
      </c>
      <c r="V85" s="34" t="s">
        <v>74</v>
      </c>
      <c r="W85" s="21" t="s">
        <v>75</v>
      </c>
      <c r="X85" s="35" t="s">
        <v>71</v>
      </c>
      <c r="Y85" s="21" t="str">
        <f t="shared" si="2"/>
        <v>ANA MELITA PANDURO RODRIGUEZ</v>
      </c>
      <c r="Z85" s="21" t="str">
        <f>VLOOKUP(A85,[1]CPS!A84:AU268,35,FALSE)</f>
        <v>6 NO CONSTITUYÓ GARANTÍAS</v>
      </c>
      <c r="AA85" s="25" t="str">
        <f>VLOOKUP(A85,[1]CPS!A84:AU268,37,FALSE)</f>
        <v>N/A</v>
      </c>
      <c r="AB85" s="55" t="s">
        <v>71</v>
      </c>
      <c r="AC85" s="56" t="str">
        <f>VLOOKUP(A85,[1]CPS!A84:AU268,38,FALSE)</f>
        <v>N/A</v>
      </c>
      <c r="AD85" s="55" t="str">
        <f>VLOOKUP(A85,[1]CPS!A84:AU268,39,FALSE)</f>
        <v>N/A</v>
      </c>
      <c r="AE85" s="21" t="str">
        <f>VLOOKUP(A85,[1]CPS!A84:AU268,36,FALSE)</f>
        <v>PNN Amacayacu</v>
      </c>
      <c r="AF85" s="22" t="s">
        <v>77</v>
      </c>
      <c r="AG85" s="22" t="s">
        <v>73</v>
      </c>
      <c r="AH85" s="38">
        <f>VLOOKUP(A85,[1]CPS!A84:AU268,41,FALSE)</f>
        <v>51935320</v>
      </c>
      <c r="AI85" s="21" t="str">
        <f>VLOOKUP(A85,[1]CPS!A84:AU268,29,FALSE)</f>
        <v>ELIANA MARTINEZ RUEDA</v>
      </c>
      <c r="AJ85" s="35">
        <f>VLOOKUP(A85,[1]CPS!A84:AH268,34,FALSE)</f>
        <v>330</v>
      </c>
      <c r="AL85" s="94" t="str">
        <f>VLOOKUP(A85,[1]CPS!A84:AU268,40,FALSE)</f>
        <v>N/A</v>
      </c>
      <c r="AM85" s="95">
        <f>VLOOKUP(A85,[1]CPS!A84:AU268,44,FALSE)</f>
        <v>44588</v>
      </c>
      <c r="AN85" s="22" t="s">
        <v>78</v>
      </c>
      <c r="AO85" s="22">
        <v>0</v>
      </c>
      <c r="AP85" s="42">
        <v>0</v>
      </c>
      <c r="AQ85" s="43"/>
      <c r="AR85" s="44">
        <v>0</v>
      </c>
      <c r="AT85" s="96">
        <f>VLOOKUP(A85,[1]CPS!A84:AU268,25,FALSE)</f>
        <v>44587</v>
      </c>
      <c r="AU85" s="96">
        <f>VLOOKUP(A85,[1]CPS!A84:AU268,26,FALSE)</f>
        <v>44920</v>
      </c>
      <c r="AV85" s="97"/>
      <c r="AW85" s="22" t="s">
        <v>79</v>
      </c>
      <c r="AZ85" s="22" t="s">
        <v>79</v>
      </c>
      <c r="BA85" s="22">
        <v>0</v>
      </c>
      <c r="BE85" s="98"/>
      <c r="BF85" s="99">
        <f t="shared" si="3"/>
        <v>15532000</v>
      </c>
      <c r="BG85" s="100" t="str">
        <f>VLOOKUP(A85,[1]CPS!A84:AU268,2,FALSE)</f>
        <v>CAROL ANGELICA CERCADO</v>
      </c>
      <c r="BH85" s="21" t="str">
        <f>VLOOKUP(A85,[1]CPS!A84:AU268,42,FALSE)</f>
        <v>https://www.secop.gov.co/CO1ContractsManagement/Tendering/ProcurementContractEdit/View?docUniqueIdentifier=CO1.PCCNTR.3456529</v>
      </c>
      <c r="BI85" s="22" t="s">
        <v>80</v>
      </c>
      <c r="BK85" s="51" t="str">
        <f>VLOOKUP(A85,[1]CPS!A84:AU268,33,FALSE)</f>
        <v>https://www.secop.gov.co/CO1ContractsManagement/Tendering/ProcurementContractEdit/View?docUniqueIdentifier=CO1.PCCNTR.3459590&amp;awardUniqueIdentifier=&amp;buyerDossierUniqueIdentifier=CO1.BDOS.2729683&amp;id=1711479&amp;prevCtxUrl=https%3a%2f%2fwww.secop.gov.co%2fCO1BusinessLine%2fTendering%2fBuyerDossierWorkspace%2fIndex%3fsortingState%3dLastModifiedDESC%26showAdvancedSearch%3dFalse%26showAdvancedSearchFields%3dFalse%26selectedDossier%3dCO1.BDOS.2729683%26selectedRequest%3dCO1.REQ.2807991%26&amp;prevCtxLbl=Procesos+de+la+Entidad+Estatal</v>
      </c>
      <c r="BO85" s="53" t="s">
        <v>81</v>
      </c>
    </row>
    <row r="86" spans="1:67" ht="15" customHeight="1">
      <c r="A86" s="21">
        <v>85</v>
      </c>
      <c r="B86" s="22" t="s">
        <v>166</v>
      </c>
      <c r="C86" s="23" t="s">
        <v>68</v>
      </c>
      <c r="D86" s="24" t="str">
        <f>VLOOKUP(A86,[1]CPS!A85:AG269,3,FALSE)</f>
        <v>CD-DTAM NACION-CPS No. 085 - 2022</v>
      </c>
      <c r="E86" s="25">
        <v>85</v>
      </c>
      <c r="F86" s="21" t="str">
        <f>VLOOKUP(A86,[1]CPS!A85:AG269,4,FALSE)</f>
        <v>DAVID NAPOLEÓN NOVOA MAHECHA</v>
      </c>
      <c r="G86" s="90">
        <f>VLOOKUP(A86,[1]CPS!A85:AU269,43,FALSE)</f>
        <v>44587</v>
      </c>
      <c r="H86" s="21" t="str">
        <f>VLOOKUP(A86,[1]CPS!A85:AG269,9,FALSE)</f>
        <v>Prestar servicios profesionales para fortalecer los procesos de construcción, implementación y seguimiento de los acuerdos políticos con pueblos indígenas y revisión de los mecanismos políticos como estrategias de manejo y protección de la diversidad biológica y cultural en el marco de la función social de acuerdo a los lineamientos establecidos por Parques Nacionales Naturales de Colombia</v>
      </c>
      <c r="I86" s="91" t="s">
        <v>69</v>
      </c>
      <c r="J86" s="22" t="s">
        <v>70</v>
      </c>
      <c r="K86" s="25" t="s">
        <v>71</v>
      </c>
      <c r="L86" s="21">
        <f>VLOOKUP(A86,[1]CPS!A85:AG269,16,FALSE)</f>
        <v>13022</v>
      </c>
      <c r="M86" s="21">
        <f>VLOOKUP(A86,[1]CPS!A85:AG269,18,FALSE)</f>
        <v>11122</v>
      </c>
      <c r="N86" s="29">
        <f>VLOOKUP(A86,[1]CPS!A85:AG269,19,FALSE)</f>
        <v>44587</v>
      </c>
      <c r="O86" s="21" t="str">
        <f>VLOOKUP(A86,[1]CPS!A85:AU269,46,FALSE)</f>
        <v>ADMINISTRACION</v>
      </c>
      <c r="P86" s="30">
        <f>VLOOKUP(A86,[1]CPS!A85:AG269,13,FALSE)</f>
        <v>6304000</v>
      </c>
      <c r="Q86" s="92">
        <f>VLOOKUP(A86,[1]CPS!A85:AG269,12,FALSE)</f>
        <v>69344000</v>
      </c>
      <c r="S86" s="22" t="s">
        <v>72</v>
      </c>
      <c r="T86" s="22" t="s">
        <v>73</v>
      </c>
      <c r="U86" s="93">
        <f>VLOOKUP(A86,[1]CPS!A85:AG269,5,FALSE)</f>
        <v>80082576</v>
      </c>
      <c r="V86" s="34" t="s">
        <v>74</v>
      </c>
      <c r="W86" s="21" t="s">
        <v>75</v>
      </c>
      <c r="X86" s="35" t="s">
        <v>71</v>
      </c>
      <c r="Y86" s="21" t="str">
        <f t="shared" si="2"/>
        <v>DAVID NAPOLEÓN NOVOA MAHECHA</v>
      </c>
      <c r="Z86" s="21" t="str">
        <f>VLOOKUP(A86,[1]CPS!A85:AU269,35,FALSE)</f>
        <v>6 NO CONSTITUYÓ GARANTÍAS</v>
      </c>
      <c r="AA86" s="25" t="str">
        <f>VLOOKUP(A86,[1]CPS!A85:AU269,37,FALSE)</f>
        <v>N/A</v>
      </c>
      <c r="AB86" s="55" t="s">
        <v>71</v>
      </c>
      <c r="AC86" s="56" t="str">
        <f>VLOOKUP(A86,[1]CPS!A85:AU269,38,FALSE)</f>
        <v>N/A</v>
      </c>
      <c r="AD86" s="55" t="str">
        <f>VLOOKUP(A86,[1]CPS!A85:AU269,39,FALSE)</f>
        <v>N/A</v>
      </c>
      <c r="AE86" s="21" t="str">
        <f>VLOOKUP(A86,[1]CPS!A85:AU269,36,FALSE)</f>
        <v>Dirección Territorial Amazonía</v>
      </c>
      <c r="AF86" s="22" t="s">
        <v>77</v>
      </c>
      <c r="AG86" s="22" t="s">
        <v>73</v>
      </c>
      <c r="AH86" s="38">
        <f>VLOOKUP(A86,[1]CPS!A85:AU269,41,FALSE)</f>
        <v>91297841</v>
      </c>
      <c r="AI86" s="21" t="str">
        <f>VLOOKUP(A86,[1]CPS!A85:AU269,29,FALSE)</f>
        <v>NANCY ESPERANZA RIVERA VEGA</v>
      </c>
      <c r="AJ86" s="35">
        <f>VLOOKUP(A86,[1]CPS!A85:AH269,34,FALSE)</f>
        <v>330</v>
      </c>
      <c r="AL86" s="94" t="str">
        <f>VLOOKUP(A86,[1]CPS!A85:AU269,40,FALSE)</f>
        <v>N/A</v>
      </c>
      <c r="AM86" s="95">
        <f>VLOOKUP(A86,[1]CPS!A85:AU269,44,FALSE)</f>
        <v>44588</v>
      </c>
      <c r="AN86" s="22" t="s">
        <v>78</v>
      </c>
      <c r="AO86" s="22">
        <v>0</v>
      </c>
      <c r="AP86" s="42">
        <v>0</v>
      </c>
      <c r="AQ86" s="43"/>
      <c r="AR86" s="44">
        <v>0</v>
      </c>
      <c r="AT86" s="96">
        <f>VLOOKUP(A86,[1]CPS!A85:AU269,25,FALSE)</f>
        <v>44588</v>
      </c>
      <c r="AU86" s="96">
        <f>VLOOKUP(A86,[1]CPS!A85:AU269,26,FALSE)</f>
        <v>44920</v>
      </c>
      <c r="AV86" s="97"/>
      <c r="AW86" s="22" t="s">
        <v>79</v>
      </c>
      <c r="AZ86" s="22" t="s">
        <v>79</v>
      </c>
      <c r="BA86" s="22">
        <v>0</v>
      </c>
      <c r="BE86" s="98"/>
      <c r="BF86" s="99">
        <f t="shared" si="3"/>
        <v>69344000</v>
      </c>
      <c r="BG86" s="100" t="str">
        <f>VLOOKUP(A86,[1]CPS!A85:AU269,2,FALSE)</f>
        <v>LAURA CAROLINA CORREA RAMIREZ</v>
      </c>
      <c r="BH86" s="21" t="str">
        <f>VLOOKUP(A86,[1]CPS!A85:AU269,42,FALSE)</f>
        <v>https://www.secop.gov.co/CO1ContractsManagement/Tendering/ProcurementContractEdit/View?docUniqueIdentifier=CO1.PCCNTR.3435381</v>
      </c>
      <c r="BI86" s="22" t="s">
        <v>80</v>
      </c>
      <c r="BK86" s="51" t="str">
        <f>VLOOKUP(A86,[1]CPS!A85:AU269,33,FALSE)</f>
        <v>https://www.secop.gov.co/CO1ContractsManagement/Tendering/ProcurementContractEdit/View?docUniqueIdentifier=CO1.PCCNTR.3456529&amp;awardUniqueIdentifier=&amp;buyerDossierUniqueIdentifier=CO1.BDOS.2727165&amp;id=1708240&amp;prevCtxUrl=https%3a%2f%2fwww.secop.gov.co%2fCO1BusinessLine%2fTendering%2fBuyerDossierWorkspace%2fIndex%3fsortingState%3dLastModifiedDESC%26showAdvancedSearch%3dFalse%26showAdvancedSearchFields%3dFalse%26selectedDossier%3dCO1.BDOS.2727165%26selectedRequest%3dCO1.REQ.2804221%26&amp;prevCtxLbl=Procesos+de+la+Entidad+Estatal</v>
      </c>
      <c r="BO86" s="53" t="s">
        <v>81</v>
      </c>
    </row>
    <row r="87" spans="1:67" ht="15" customHeight="1">
      <c r="A87" s="21">
        <v>86</v>
      </c>
      <c r="B87" s="22" t="s">
        <v>167</v>
      </c>
      <c r="C87" s="23" t="s">
        <v>68</v>
      </c>
      <c r="D87" s="24" t="str">
        <f>VLOOKUP(A87,[1]CPS!A86:AG270,3,FALSE)</f>
        <v>CD-DTAM NACION-CPS No. 086 - 2022</v>
      </c>
      <c r="E87" s="25">
        <v>86</v>
      </c>
      <c r="F87" s="21" t="str">
        <f>VLOOKUP(A87,[1]CPS!A86:AG270,4,FALSE)</f>
        <v>SANDRA TATIANA LOSADA ROJAS</v>
      </c>
      <c r="G87" s="90">
        <f>VLOOKUP(A87,[1]CPS!A86:AU270,43,FALSE)</f>
        <v>44587</v>
      </c>
      <c r="H87" s="21" t="str">
        <f>VLOOKUP(A87,[1]CPS!A86:AG270,9,FALSE)</f>
        <v>Prestar servicios profesionales a la línea de investigación y monitoreo de las Prioridades Integrales y Valores Objeto de Conservación (PIC/VOC) de las áreas protegidas de la Dirección Territorial Amazonía de acuerdo a los lineamientos establecidos por Parques Nacionales Naturales de Colombia</v>
      </c>
      <c r="I87" s="91" t="s">
        <v>69</v>
      </c>
      <c r="J87" s="22" t="s">
        <v>70</v>
      </c>
      <c r="K87" s="25" t="s">
        <v>71</v>
      </c>
      <c r="L87" s="21">
        <f>VLOOKUP(A87,[1]CPS!A86:AG270,16,FALSE)</f>
        <v>12822</v>
      </c>
      <c r="M87" s="21">
        <f>VLOOKUP(A87,[1]CPS!A86:AG270,18,FALSE)</f>
        <v>62510</v>
      </c>
      <c r="N87" s="29">
        <f>VLOOKUP(A87,[1]CPS!A86:AG270,19,FALSE)</f>
        <v>44587</v>
      </c>
      <c r="O87" s="21" t="str">
        <f>VLOOKUP(A87,[1]CPS!A86:AU270,46,FALSE)</f>
        <v>ADMINISTRACION</v>
      </c>
      <c r="P87" s="30">
        <f>VLOOKUP(A87,[1]CPS!A86:AG270,13,FALSE)</f>
        <v>5700000</v>
      </c>
      <c r="Q87" s="92">
        <f>VLOOKUP(A87,[1]CPS!A86:AG270,12,FALSE)</f>
        <v>62510000</v>
      </c>
      <c r="S87" s="22" t="s">
        <v>72</v>
      </c>
      <c r="T87" s="22" t="s">
        <v>73</v>
      </c>
      <c r="U87" s="93">
        <f>VLOOKUP(A87,[1]CPS!A86:AG270,5,FALSE)</f>
        <v>53001713</v>
      </c>
      <c r="V87" s="34" t="s">
        <v>74</v>
      </c>
      <c r="W87" s="21" t="s">
        <v>75</v>
      </c>
      <c r="X87" s="35" t="s">
        <v>71</v>
      </c>
      <c r="Y87" s="21" t="str">
        <f t="shared" si="2"/>
        <v>SANDRA TATIANA LOSADA ROJAS</v>
      </c>
      <c r="Z87" s="21" t="str">
        <f>VLOOKUP(A87,[1]CPS!A86:AU270,35,FALSE)</f>
        <v>1 PÓLIZA</v>
      </c>
      <c r="AA87" s="35" t="str">
        <f>VLOOKUP(A87,[1]CPS!A86:AU270,37,FALSE)</f>
        <v>12 SEGUROS DEL ESTADO</v>
      </c>
      <c r="AB87" s="36" t="s">
        <v>76</v>
      </c>
      <c r="AC87" s="90">
        <f>VLOOKUP(A87,[1]CPS!A86:AU270,38,FALSE)</f>
        <v>44587</v>
      </c>
      <c r="AD87" s="35" t="str">
        <f>VLOOKUP(A87,[1]CPS!A86:AU270,39,FALSE)</f>
        <v>14-46-101069130</v>
      </c>
      <c r="AE87" s="21" t="str">
        <f>VLOOKUP(A87,[1]CPS!A86:AU270,36,FALSE)</f>
        <v>Dirección Territorial Amazonía</v>
      </c>
      <c r="AF87" s="22" t="s">
        <v>77</v>
      </c>
      <c r="AG87" s="22" t="s">
        <v>73</v>
      </c>
      <c r="AH87" s="38">
        <f>VLOOKUP(A87,[1]CPS!A86:AU270,41,FALSE)</f>
        <v>91297841</v>
      </c>
      <c r="AI87" s="21" t="str">
        <f>VLOOKUP(A87,[1]CPS!A86:AU270,29,FALSE)</f>
        <v>NANCY ESPERANZA RIVERA VEGA</v>
      </c>
      <c r="AJ87" s="35">
        <f>VLOOKUP(A87,[1]CPS!A86:AH270,34,FALSE)</f>
        <v>330</v>
      </c>
      <c r="AL87" s="94">
        <f>VLOOKUP(A87,[1]CPS!A86:AU270,40,FALSE)</f>
        <v>44587</v>
      </c>
      <c r="AM87" s="95">
        <f>VLOOKUP(A87,[1]CPS!A86:AU270,44,FALSE)</f>
        <v>44588</v>
      </c>
      <c r="AN87" s="22" t="s">
        <v>78</v>
      </c>
      <c r="AO87" s="22">
        <v>0</v>
      </c>
      <c r="AP87" s="42">
        <v>0</v>
      </c>
      <c r="AQ87" s="43"/>
      <c r="AR87" s="44">
        <v>0</v>
      </c>
      <c r="AT87" s="96">
        <f>VLOOKUP(A87,[1]CPS!A86:AU270,25,FALSE)</f>
        <v>44588</v>
      </c>
      <c r="AU87" s="96">
        <f>VLOOKUP(A87,[1]CPS!A86:AU270,26,FALSE)</f>
        <v>44920</v>
      </c>
      <c r="AV87" s="97"/>
      <c r="AW87" s="22" t="s">
        <v>79</v>
      </c>
      <c r="AZ87" s="22" t="s">
        <v>79</v>
      </c>
      <c r="BA87" s="22">
        <v>0</v>
      </c>
      <c r="BE87" s="98"/>
      <c r="BF87" s="99">
        <f t="shared" si="3"/>
        <v>62510000</v>
      </c>
      <c r="BG87" s="100" t="str">
        <f>VLOOKUP(A87,[1]CPS!A86:AU270,2,FALSE)</f>
        <v>LAURA CAROLINA CORREA RAMIREZ</v>
      </c>
      <c r="BH87" s="21" t="str">
        <f>VLOOKUP(A87,[1]CPS!A86:AU270,42,FALSE)</f>
        <v>https://www.secop.gov.co/CO1ContractsManagement/Tendering/ProcurementContractEdit/View?docUniqueIdentifier=CO1.PCCNTR.3438035</v>
      </c>
      <c r="BI87" s="22" t="s">
        <v>80</v>
      </c>
      <c r="BK87" s="51" t="str">
        <f>VLOOKUP(A87,[1]CPS!A86:AU270,33,FALSE)</f>
        <v>https://community.secop.gov.co/Public/Tendering/OpportunityDetail/Index?noticeUID=CO1.NTC.2722350&amp;isFromPublicArea=True&amp;isModal=False</v>
      </c>
      <c r="BO87" s="53" t="s">
        <v>81</v>
      </c>
    </row>
    <row r="88" spans="1:67" ht="15" customHeight="1">
      <c r="A88" s="21">
        <v>87</v>
      </c>
      <c r="B88" s="22" t="s">
        <v>168</v>
      </c>
      <c r="C88" s="23" t="s">
        <v>68</v>
      </c>
      <c r="D88" s="24" t="str">
        <f>VLOOKUP(A88,[1]CPS!A87:AG271,3,FALSE)</f>
        <v>CD-DTAM NACION-CPS No. 087 - 2022</v>
      </c>
      <c r="E88" s="25">
        <v>87</v>
      </c>
      <c r="F88" s="21" t="str">
        <f>VLOOKUP(A88,[1]CPS!A87:AG271,4,FALSE)</f>
        <v>DUBER ADRIÁN JAJOY BUESAQUILLO</v>
      </c>
      <c r="G88" s="90">
        <f>VLOOKUP(A88,[1]CPS!A87:AU271,43,FALSE)</f>
        <v>44587</v>
      </c>
      <c r="H88" s="21" t="str">
        <f>VLOOKUP(A88,[1]CPS!A87:AG271,9,FALSE)</f>
        <v>Prestar apoyo técnico a la gestión operativa y comunitaria de los procesos Estrategias Especiales de Manejo y de planeación del manejo con comunidades indígenas y campesinas del Parque Nacional Natural Serranía de los Churumbelos Auka Wasi en los Municipios con injerencia en el Parque.</v>
      </c>
      <c r="I88" s="91" t="s">
        <v>69</v>
      </c>
      <c r="J88" s="22" t="s">
        <v>70</v>
      </c>
      <c r="K88" s="25" t="s">
        <v>71</v>
      </c>
      <c r="L88" s="21">
        <f>VLOOKUP(A88,[1]CPS!A87:AG271,16,FALSE)</f>
        <v>9422</v>
      </c>
      <c r="M88" s="21">
        <f>VLOOKUP(A88,[1]CPS!A87:AG271,18,FALSE)</f>
        <v>11322</v>
      </c>
      <c r="N88" s="29">
        <f>VLOOKUP(A88,[1]CPS!A87:AG271,19,FALSE)</f>
        <v>44587</v>
      </c>
      <c r="O88" s="21" t="str">
        <f>VLOOKUP(A88,[1]CPS!A87:AU271,46,FALSE)</f>
        <v>ADMINISTRACION</v>
      </c>
      <c r="P88" s="30">
        <f>VLOOKUP(A88,[1]CPS!A87:AG271,13,FALSE)</f>
        <v>2330000</v>
      </c>
      <c r="Q88" s="92">
        <f>VLOOKUP(A88,[1]CPS!A87:AG271,12,FALSE)</f>
        <v>25552333</v>
      </c>
      <c r="S88" s="22" t="s">
        <v>72</v>
      </c>
      <c r="T88" s="22" t="s">
        <v>73</v>
      </c>
      <c r="U88" s="93">
        <f>VLOOKUP(A88,[1]CPS!A87:AG271,5,FALSE)</f>
        <v>1124861403</v>
      </c>
      <c r="V88" s="34" t="s">
        <v>74</v>
      </c>
      <c r="W88" s="21" t="s">
        <v>75</v>
      </c>
      <c r="X88" s="35" t="s">
        <v>71</v>
      </c>
      <c r="Y88" s="21" t="str">
        <f t="shared" si="2"/>
        <v>DUBER ADRIÁN JAJOY BUESAQUILLO</v>
      </c>
      <c r="Z88" s="21" t="str">
        <f>VLOOKUP(A88,[1]CPS!A87:AU271,35,FALSE)</f>
        <v>6 NO CONSTITUYÓ GARANTÍAS</v>
      </c>
      <c r="AA88" s="35" t="str">
        <f>VLOOKUP(A88,[1]CPS!A87:AU271,37,FALSE)</f>
        <v>N/A</v>
      </c>
      <c r="AB88" s="55" t="s">
        <v>71</v>
      </c>
      <c r="AC88" s="56" t="str">
        <f>VLOOKUP(A88,[1]CPS!A87:AU271,38,FALSE)</f>
        <v>N/A</v>
      </c>
      <c r="AD88" s="55" t="str">
        <f>VLOOKUP(A88,[1]CPS!A87:AU271,39,FALSE)</f>
        <v>N/A</v>
      </c>
      <c r="AE88" s="21" t="str">
        <f>VLOOKUP(A88,[1]CPS!A87:AU271,36,FALSE)</f>
        <v>PNN Serranía de Los Churumbelos</v>
      </c>
      <c r="AF88" s="22" t="s">
        <v>77</v>
      </c>
      <c r="AG88" s="22" t="s">
        <v>73</v>
      </c>
      <c r="AH88" s="38">
        <f>VLOOKUP(A88,[1]CPS!A87:AU271,41,FALSE)</f>
        <v>19481189</v>
      </c>
      <c r="AI88" s="21" t="str">
        <f>VLOOKUP(A88,[1]CPS!A87:AU271,29,FALSE)</f>
        <v>FLABIO ARMANDO HERRERA CAICEDO</v>
      </c>
      <c r="AJ88" s="35">
        <f>VLOOKUP(A88,[1]CPS!A87:AH271,34,FALSE)</f>
        <v>329</v>
      </c>
      <c r="AL88" s="94" t="str">
        <f>VLOOKUP(A88,[1]CPS!A87:AU271,40,FALSE)</f>
        <v>N/A</v>
      </c>
      <c r="AM88" s="95">
        <f>VLOOKUP(A88,[1]CPS!A87:AU271,44,FALSE)</f>
        <v>44594</v>
      </c>
      <c r="AN88" s="22" t="s">
        <v>78</v>
      </c>
      <c r="AO88" s="22">
        <v>0</v>
      </c>
      <c r="AP88" s="42">
        <v>0</v>
      </c>
      <c r="AQ88" s="43"/>
      <c r="AR88" s="44">
        <v>0</v>
      </c>
      <c r="AT88" s="96">
        <f>VLOOKUP(A88,[1]CPS!A87:AU271,25,FALSE)</f>
        <v>44588</v>
      </c>
      <c r="AU88" s="96">
        <f>VLOOKUP(A88,[1]CPS!A87:AU271,26,FALSE)</f>
        <v>44920</v>
      </c>
      <c r="AV88" s="97"/>
      <c r="AW88" s="22" t="s">
        <v>79</v>
      </c>
      <c r="AZ88" s="22" t="s">
        <v>79</v>
      </c>
      <c r="BA88" s="22">
        <v>0</v>
      </c>
      <c r="BE88" s="98"/>
      <c r="BF88" s="99">
        <f t="shared" si="3"/>
        <v>25552333</v>
      </c>
      <c r="BG88" s="100" t="str">
        <f>VLOOKUP(A88,[1]CPS!A87:AU271,2,FALSE)</f>
        <v>NORYLY AGUIRRE OTALORA</v>
      </c>
      <c r="BH88" s="21" t="str">
        <f>VLOOKUP(A88,[1]CPS!A87:AU271,42,FALSE)</f>
        <v>https://www.secop.gov.co/CO1ContractsManagement/Tendering/ProcurementContractEdit/View?docUniqueIdentifier=CO1.PCCNTR.3445304</v>
      </c>
      <c r="BI88" s="22" t="s">
        <v>80</v>
      </c>
      <c r="BK88" s="51" t="str">
        <f>VLOOKUP(A88,[1]CPS!A87:AU271,33,FALSE)</f>
        <v>https://community.secop.gov.co/Public/Tendering/OpportunityDetail/Index?noticeUID=CO1.NTC.2724407&amp;isFromPublicArea=True&amp;isModal=False</v>
      </c>
      <c r="BO88" s="53" t="s">
        <v>81</v>
      </c>
    </row>
    <row r="89" spans="1:67" ht="15" customHeight="1">
      <c r="A89" s="21">
        <v>88</v>
      </c>
      <c r="B89" s="22" t="s">
        <v>169</v>
      </c>
      <c r="C89" s="23" t="s">
        <v>68</v>
      </c>
      <c r="D89" s="24" t="str">
        <f>VLOOKUP(A89,[1]CPS!A88:AG272,3,FALSE)</f>
        <v>CD-DTAM NACION-CPS No. 088 - 2022</v>
      </c>
      <c r="E89" s="25">
        <v>88</v>
      </c>
      <c r="F89" s="21" t="str">
        <f>VLOOKUP(A89,[1]CPS!A88:AG272,4,FALSE)</f>
        <v>YENI LORENA ZAMBRANO LOPEZ</v>
      </c>
      <c r="G89" s="90">
        <f>VLOOKUP(A89,[1]CPS!A88:AU272,43,FALSE)</f>
        <v>44587</v>
      </c>
      <c r="H89" s="21" t="str">
        <f>VLOOKUP(A89,[1]CPS!A88:AG272,9,FALSE)</f>
        <v>Prestar servicios Profesionales y de acciones de la implementación de la estrategia de comunicación y educación para la conservación de la biodiversidad y la diversidad cultural en el área de comunicaciones y educación ambiental del Parque Nacional Natural Serranía de los Churumbelos Auka Wasi en los Municipios con injerencia en el Parque.</v>
      </c>
      <c r="I89" s="91" t="s">
        <v>69</v>
      </c>
      <c r="J89" s="22" t="s">
        <v>70</v>
      </c>
      <c r="K89" s="25" t="s">
        <v>71</v>
      </c>
      <c r="L89" s="21">
        <f>VLOOKUP(A89,[1]CPS!A88:AG272,16,FALSE)</f>
        <v>13322</v>
      </c>
      <c r="M89" s="21">
        <f>VLOOKUP(A89,[1]CPS!A88:AG272,18,FALSE)</f>
        <v>11622</v>
      </c>
      <c r="N89" s="29">
        <f>VLOOKUP(A89,[1]CPS!A88:AG272,19,FALSE)</f>
        <v>44587</v>
      </c>
      <c r="O89" s="21" t="str">
        <f>VLOOKUP(A89,[1]CPS!A88:AU272,46,FALSE)</f>
        <v>ADMINISTRACION</v>
      </c>
      <c r="P89" s="30">
        <f>VLOOKUP(A89,[1]CPS!A88:AG272,13,FALSE)</f>
        <v>4100000</v>
      </c>
      <c r="Q89" s="92">
        <f>VLOOKUP(A89,[1]CPS!A88:AG272,12,FALSE)</f>
        <v>36626667</v>
      </c>
      <c r="S89" s="22" t="s">
        <v>72</v>
      </c>
      <c r="T89" s="22" t="s">
        <v>73</v>
      </c>
      <c r="U89" s="93">
        <f>VLOOKUP(A89,[1]CPS!A88:AG272,5,FALSE)</f>
        <v>1124850690</v>
      </c>
      <c r="V89" s="34" t="s">
        <v>74</v>
      </c>
      <c r="W89" s="21" t="s">
        <v>75</v>
      </c>
      <c r="X89" s="35" t="s">
        <v>71</v>
      </c>
      <c r="Y89" s="21" t="str">
        <f t="shared" si="2"/>
        <v>YENI LORENA ZAMBRANO LOPEZ</v>
      </c>
      <c r="Z89" s="21" t="str">
        <f>VLOOKUP(A89,[1]CPS!A88:AU272,35,FALSE)</f>
        <v>6 NO CONSTITUYÓ GARANTÍAS</v>
      </c>
      <c r="AA89" s="25" t="str">
        <f>VLOOKUP(A89,[1]CPS!A88:AU272,37,FALSE)</f>
        <v>N/A</v>
      </c>
      <c r="AB89" s="55" t="s">
        <v>71</v>
      </c>
      <c r="AC89" s="56" t="str">
        <f>VLOOKUP(A89,[1]CPS!A88:AU272,38,FALSE)</f>
        <v>N/A</v>
      </c>
      <c r="AD89" s="55" t="str">
        <f>VLOOKUP(A89,[1]CPS!A88:AU272,39,FALSE)</f>
        <v>N/A</v>
      </c>
      <c r="AE89" s="21" t="str">
        <f>VLOOKUP(A89,[1]CPS!A88:AU272,36,FALSE)</f>
        <v>PNN Serranía de Los Churumbelos</v>
      </c>
      <c r="AF89" s="22" t="s">
        <v>77</v>
      </c>
      <c r="AG89" s="22" t="s">
        <v>73</v>
      </c>
      <c r="AH89" s="38">
        <f>VLOOKUP(A89,[1]CPS!A88:AU272,41,FALSE)</f>
        <v>19481189</v>
      </c>
      <c r="AI89" s="21" t="str">
        <f>VLOOKUP(A89,[1]CPS!A88:AU272,29,FALSE)</f>
        <v>FLABIO ARMANDO HERRERA CAICEDO</v>
      </c>
      <c r="AJ89" s="35">
        <f>VLOOKUP(A89,[1]CPS!A88:AH272,34,FALSE)</f>
        <v>329</v>
      </c>
      <c r="AL89" s="94" t="str">
        <f>VLOOKUP(A89,[1]CPS!A88:AU272,40,FALSE)</f>
        <v>N/A</v>
      </c>
      <c r="AM89" s="95">
        <f>VLOOKUP(A89,[1]CPS!A88:AU272,44,FALSE)</f>
        <v>44596</v>
      </c>
      <c r="AN89" s="22" t="s">
        <v>78</v>
      </c>
      <c r="AO89" s="22">
        <v>0</v>
      </c>
      <c r="AP89" s="42">
        <v>0</v>
      </c>
      <c r="AQ89" s="43"/>
      <c r="AR89" s="44">
        <v>0</v>
      </c>
      <c r="AT89" s="96">
        <f>VLOOKUP(A89,[1]CPS!A88:AU272,25,FALSE)</f>
        <v>44587</v>
      </c>
      <c r="AU89" s="96">
        <f>VLOOKUP(A89,[1]CPS!A88:AU272,26,FALSE)</f>
        <v>44919</v>
      </c>
      <c r="AV89" s="97"/>
      <c r="AW89" s="22" t="s">
        <v>79</v>
      </c>
      <c r="AZ89" s="22" t="s">
        <v>79</v>
      </c>
      <c r="BA89" s="22">
        <v>0</v>
      </c>
      <c r="BE89" s="98"/>
      <c r="BF89" s="99">
        <f t="shared" si="3"/>
        <v>36626667</v>
      </c>
      <c r="BG89" s="100" t="str">
        <f>VLOOKUP(A89,[1]CPS!A88:AU272,2,FALSE)</f>
        <v>NORYLY AGUIRRE OTALORA</v>
      </c>
      <c r="BH89" s="21" t="str">
        <f>VLOOKUP(A89,[1]CPS!A88:AU272,42,FALSE)</f>
        <v>https://www.secop.gov.co/CO1ContractsManagement/Tendering/ProcurementContractEdit/View?docUniqueIdentifier=CO1.PCCNTR.3448601</v>
      </c>
      <c r="BI89" s="22" t="s">
        <v>80</v>
      </c>
      <c r="BK89" s="51" t="str">
        <f>VLOOKUP(A89,[1]CPS!A88:AU272,33,FALSE)</f>
        <v>https://community.secop.gov.co/Public/Tendering/ContractNoticePhases/View?PPI=CO1.PPI.17183638&amp;isFromPublicArea=True&amp;isModal=False</v>
      </c>
      <c r="BO89" s="53" t="s">
        <v>81</v>
      </c>
    </row>
    <row r="90" spans="1:67" ht="15" customHeight="1">
      <c r="A90" s="21">
        <v>89</v>
      </c>
      <c r="B90" s="22" t="s">
        <v>170</v>
      </c>
      <c r="C90" s="23" t="s">
        <v>68</v>
      </c>
      <c r="D90" s="24" t="str">
        <f>VLOOKUP(A90,[1]CPS!A89:AG273,3,FALSE)</f>
        <v>CD-DTAM NACION-CPS No. 089 - 2022</v>
      </c>
      <c r="E90" s="25">
        <v>89</v>
      </c>
      <c r="F90" s="21" t="str">
        <f>VLOOKUP(A90,[1]CPS!A89:AG273,4,FALSE)</f>
        <v>CONSTANZA TRIANA SERPA</v>
      </c>
      <c r="G90" s="90">
        <f>VLOOKUP(A90,[1]CPS!A89:AU273,43,FALSE)</f>
        <v>44587</v>
      </c>
      <c r="H90" s="21" t="str">
        <f>VLOOKUP(A90,[1]CPS!A89:AG273,9,FALSE)</f>
        <v>Prestar los servicios profesionales en la Dirección Territorial Amazonia para los trámites y actividades de carácter jurídico que determinan la situación jurídica predial y de saneamiento de los predios que se prioricen para tal fin; además, de la participación en la construcción de los lineamientos y orientaciones para el saneamiento predial y la actualización en las bases de datos del sistema de información predial que lidera el Grupo de Predios de la Oficina Asesora Jurídic</v>
      </c>
      <c r="I90" s="91" t="s">
        <v>69</v>
      </c>
      <c r="J90" s="22" t="s">
        <v>70</v>
      </c>
      <c r="K90" s="25" t="s">
        <v>71</v>
      </c>
      <c r="L90" s="21">
        <f>VLOOKUP(A90,[1]CPS!A89:AG273,16,FALSE)</f>
        <v>12922</v>
      </c>
      <c r="M90" s="21">
        <f>VLOOKUP(A90,[1]CPS!A89:AG273,18,FALSE)</f>
        <v>12722</v>
      </c>
      <c r="N90" s="29">
        <f>VLOOKUP(A90,[1]CPS!A89:AG273,19,FALSE)</f>
        <v>44588</v>
      </c>
      <c r="O90" s="21" t="str">
        <f>VLOOKUP(A90,[1]CPS!A89:AU273,46,FALSE)</f>
        <v>ADMINISTRACION</v>
      </c>
      <c r="P90" s="30">
        <f>VLOOKUP(A90,[1]CPS!A89:AG273,13,FALSE)</f>
        <v>5700000</v>
      </c>
      <c r="Q90" s="92">
        <f>VLOOKUP(A90,[1]CPS!A89:AG273,12,FALSE)</f>
        <v>62510000</v>
      </c>
      <c r="S90" s="22" t="s">
        <v>72</v>
      </c>
      <c r="T90" s="22" t="s">
        <v>73</v>
      </c>
      <c r="U90" s="93">
        <f>VLOOKUP(A90,[1]CPS!A89:AG273,5,FALSE)</f>
        <v>38261441</v>
      </c>
      <c r="V90" s="34" t="s">
        <v>74</v>
      </c>
      <c r="W90" s="21" t="s">
        <v>75</v>
      </c>
      <c r="X90" s="35" t="s">
        <v>71</v>
      </c>
      <c r="Y90" s="21" t="str">
        <f t="shared" si="2"/>
        <v>CONSTANZA TRIANA SERPA</v>
      </c>
      <c r="Z90" s="21" t="str">
        <f>VLOOKUP(A90,[1]CPS!A89:AU273,35,FALSE)</f>
        <v>6 NO CONSTITUYÓ GARANTÍAS</v>
      </c>
      <c r="AA90" s="25" t="str">
        <f>VLOOKUP(A90,[1]CPS!A89:AU273,37,FALSE)</f>
        <v>N/A</v>
      </c>
      <c r="AB90" s="55" t="s">
        <v>71</v>
      </c>
      <c r="AC90" s="56" t="str">
        <f>VLOOKUP(A90,[1]CPS!A89:AU273,38,FALSE)</f>
        <v>N/A</v>
      </c>
      <c r="AD90" s="55" t="str">
        <f>VLOOKUP(A90,[1]CPS!A89:AU273,39,FALSE)</f>
        <v>N/A</v>
      </c>
      <c r="AE90" s="21" t="str">
        <f>VLOOKUP(A90,[1]CPS!A89:AU273,36,FALSE)</f>
        <v>Dirección Territorial Amazonía</v>
      </c>
      <c r="AF90" s="22" t="s">
        <v>77</v>
      </c>
      <c r="AG90" s="22" t="s">
        <v>73</v>
      </c>
      <c r="AH90" s="38">
        <f>VLOOKUP(A90,[1]CPS!A89:AU273,41,FALSE)</f>
        <v>91297841</v>
      </c>
      <c r="AI90" s="21" t="str">
        <f>VLOOKUP(A90,[1]CPS!A89:AU273,29,FALSE)</f>
        <v>NANCY ESPERANZA RIVERA VEGA</v>
      </c>
      <c r="AJ90" s="35">
        <f>VLOOKUP(A90,[1]CPS!A89:AH273,34,FALSE)</f>
        <v>268</v>
      </c>
      <c r="AL90" s="94" t="str">
        <f>VLOOKUP(A90,[1]CPS!A89:AU273,40,FALSE)</f>
        <v>N/A</v>
      </c>
      <c r="AM90" s="101" t="str">
        <f>VLOOKUP(A90,[1]CPS!A89:AU273,44,FALSE)</f>
        <v>OTRA ARL</v>
      </c>
      <c r="AN90" s="22" t="s">
        <v>78</v>
      </c>
      <c r="AO90" s="22">
        <v>0</v>
      </c>
      <c r="AP90" s="42">
        <v>0</v>
      </c>
      <c r="AQ90" s="43"/>
      <c r="AR90" s="44">
        <v>0</v>
      </c>
      <c r="AT90" s="96">
        <f>VLOOKUP(A90,[1]CPS!A89:AU273,25,FALSE)</f>
        <v>44587</v>
      </c>
      <c r="AU90" s="96">
        <f>VLOOKUP(A90,[1]CPS!A89:AU273,26,FALSE)</f>
        <v>44857</v>
      </c>
      <c r="AV90" s="97"/>
      <c r="AW90" s="22" t="s">
        <v>79</v>
      </c>
      <c r="AZ90" s="22" t="s">
        <v>79</v>
      </c>
      <c r="BA90" s="22">
        <v>0</v>
      </c>
      <c r="BE90" s="98"/>
      <c r="BF90" s="99">
        <f t="shared" si="3"/>
        <v>62510000</v>
      </c>
      <c r="BG90" s="100" t="str">
        <f>VLOOKUP(A90,[1]CPS!A89:AU273,2,FALSE)</f>
        <v>LAURA CAROLINA CORREA RAMIREZ</v>
      </c>
      <c r="BH90" s="21" t="str">
        <f>VLOOKUP(A90,[1]CPS!A89:AU273,42,FALSE)</f>
        <v>https://www.secop.gov.co/CO1ContractsManagement/Tendering/ProcurementContractEdit/View?docUniqueIdentifier=CO1.PCCNTR.3458921</v>
      </c>
      <c r="BI90" s="22" t="s">
        <v>80</v>
      </c>
      <c r="BK90" s="51" t="str">
        <f>VLOOKUP(A90,[1]CPS!A89:AU273,33,FALSE)</f>
        <v>https://community.secop.gov.co/Public/Tendering/ContractNoticePhases/View?PPI=CO1.PPI.17190048&amp;isFromPublicArea=True&amp;isModal=False</v>
      </c>
      <c r="BO90" s="53" t="s">
        <v>81</v>
      </c>
    </row>
    <row r="91" spans="1:67" ht="15" customHeight="1">
      <c r="A91" s="21">
        <v>90</v>
      </c>
      <c r="B91" s="22" t="s">
        <v>171</v>
      </c>
      <c r="C91" s="23" t="s">
        <v>68</v>
      </c>
      <c r="D91" s="24" t="str">
        <f>VLOOKUP(A91,[1]CPS!A90:AG274,3,FALSE)</f>
        <v>CD-DTAM NACION-CPS No. 090 - 2022</v>
      </c>
      <c r="E91" s="25">
        <v>90</v>
      </c>
      <c r="F91" s="21" t="str">
        <f>VLOOKUP(A91,[1]CPS!A90:AG274,4,FALSE)</f>
        <v>ADRIAN RODRIGUEZ BURBANO</v>
      </c>
      <c r="G91" s="90">
        <f>VLOOKUP(A91,[1]CPS!A90:AU274,43,FALSE)</f>
        <v>44587</v>
      </c>
      <c r="H91" s="21" t="str">
        <f>VLOOKUP(A91,[1]CPS!A90:AG274,9,FALSE)</f>
        <v>Prestar servicios operativos para el acompañamiento de actividades de campo, relacionadas a regular y controlar el uso y el aprovechamiento de los recursos naturales del PNN La Paya</v>
      </c>
      <c r="I91" s="91" t="s">
        <v>69</v>
      </c>
      <c r="J91" s="22" t="s">
        <v>70</v>
      </c>
      <c r="K91" s="25" t="s">
        <v>71</v>
      </c>
      <c r="L91" s="21">
        <f>VLOOKUP(A91,[1]CPS!A90:AG274,16,FALSE)</f>
        <v>10922</v>
      </c>
      <c r="M91" s="21">
        <f>VLOOKUP(A91,[1]CPS!A90:AG274,18,FALSE)</f>
        <v>12522</v>
      </c>
      <c r="N91" s="29">
        <f>VLOOKUP(A91,[1]CPS!A90:AG274,19,FALSE)</f>
        <v>44588</v>
      </c>
      <c r="O91" s="21" t="str">
        <f>VLOOKUP(A91,[1]CPS!A90:AU274,46,FALSE)</f>
        <v>ADMINISTRACION</v>
      </c>
      <c r="P91" s="30">
        <f>VLOOKUP(A91,[1]CPS!A90:AG274,13,FALSE)</f>
        <v>1412000</v>
      </c>
      <c r="Q91" s="92">
        <f>VLOOKUP(A91,[1]CPS!A90:AG274,12,FALSE)</f>
        <v>15532000</v>
      </c>
      <c r="S91" s="22" t="s">
        <v>72</v>
      </c>
      <c r="T91" s="22" t="s">
        <v>73</v>
      </c>
      <c r="U91" s="93">
        <f>VLOOKUP(A91,[1]CPS!A90:AG274,5,FALSE)</f>
        <v>97447966</v>
      </c>
      <c r="V91" s="34" t="s">
        <v>74</v>
      </c>
      <c r="W91" s="21" t="s">
        <v>75</v>
      </c>
      <c r="X91" s="35" t="s">
        <v>71</v>
      </c>
      <c r="Y91" s="21" t="str">
        <f t="shared" si="2"/>
        <v>ADRIAN RODRIGUEZ BURBANO</v>
      </c>
      <c r="Z91" s="21" t="str">
        <f>VLOOKUP(A91,[1]CPS!A90:AU274,35,FALSE)</f>
        <v>6 NO CONSTITUYÓ GARANTÍAS</v>
      </c>
      <c r="AA91" s="35" t="str">
        <f>VLOOKUP(A91,[1]CPS!A90:AU274,37,FALSE)</f>
        <v>N/A</v>
      </c>
      <c r="AB91" s="55" t="s">
        <v>71</v>
      </c>
      <c r="AC91" s="56" t="str">
        <f>VLOOKUP(A91,[1]CPS!A90:AU274,38,FALSE)</f>
        <v>N/A</v>
      </c>
      <c r="AD91" s="55" t="str">
        <f>VLOOKUP(A91,[1]CPS!A90:AU274,39,FALSE)</f>
        <v>N/A</v>
      </c>
      <c r="AE91" s="21" t="str">
        <f>VLOOKUP(A91,[1]CPS!A90:AU274,36,FALSE)</f>
        <v>PNN La Paya</v>
      </c>
      <c r="AF91" s="22" t="s">
        <v>77</v>
      </c>
      <c r="AG91" s="22" t="s">
        <v>73</v>
      </c>
      <c r="AH91" s="38">
        <f>VLOOKUP(A91,[1]CPS!A90:AU274,41,FALSE)</f>
        <v>93404206</v>
      </c>
      <c r="AI91" s="21" t="str">
        <f>VLOOKUP(A91,[1]CPS!A90:AU274,29,FALSE)</f>
        <v>JEFERSON ROJAS NIETO</v>
      </c>
      <c r="AJ91" s="35">
        <f>VLOOKUP(A91,[1]CPS!A90:AH274,34,FALSE)</f>
        <v>329</v>
      </c>
      <c r="AL91" s="94" t="str">
        <f>VLOOKUP(A91,[1]CPS!A90:AU274,40,FALSE)</f>
        <v>N/A</v>
      </c>
      <c r="AM91" s="95">
        <f>VLOOKUP(A91,[1]CPS!A90:AU274,44,FALSE)</f>
        <v>44588</v>
      </c>
      <c r="AN91" s="22" t="s">
        <v>78</v>
      </c>
      <c r="AO91" s="22">
        <v>0</v>
      </c>
      <c r="AP91" s="42">
        <v>0</v>
      </c>
      <c r="AQ91" s="43"/>
      <c r="AR91" s="44">
        <v>0</v>
      </c>
      <c r="AT91" s="96">
        <f>VLOOKUP(A91,[1]CPS!A90:AU274,25,FALSE)</f>
        <v>44588</v>
      </c>
      <c r="AU91" s="96">
        <f>VLOOKUP(A91,[1]CPS!A90:AU274,26,FALSE)</f>
        <v>44920</v>
      </c>
      <c r="AV91" s="97"/>
      <c r="AW91" s="22" t="s">
        <v>79</v>
      </c>
      <c r="AZ91" s="22" t="s">
        <v>79</v>
      </c>
      <c r="BA91" s="22">
        <v>0</v>
      </c>
      <c r="BE91" s="98"/>
      <c r="BF91" s="99">
        <f t="shared" si="3"/>
        <v>15532000</v>
      </c>
      <c r="BG91" s="100" t="str">
        <f>VLOOKUP(A91,[1]CPS!A90:AU274,2,FALSE)</f>
        <v>LAURA CAROLINA CORREA RAMIREZ</v>
      </c>
      <c r="BH91" s="21" t="str">
        <f>VLOOKUP(A91,[1]CPS!A90:AU274,42,FALSE)</f>
        <v>https://www.secop.gov.co/CO1ContractsManagement/Tendering/ProcurementContractEdit/View?docUniqueIdentifier=CO1.PCCNTR.3459884</v>
      </c>
      <c r="BI91" s="22" t="s">
        <v>80</v>
      </c>
      <c r="BK91" s="51" t="str">
        <f>VLOOKUP(A91,[1]CPS!A90:AU274,33,FALSE)</f>
        <v>https://community.secop.gov.co/Public/Tendering/OpportunityDetail/Index?noticeUID=CO1.NTC.2741252&amp;isFromPublicArea=True&amp;isModal=False</v>
      </c>
      <c r="BO91" s="53" t="s">
        <v>81</v>
      </c>
    </row>
    <row r="92" spans="1:67" ht="15" customHeight="1">
      <c r="A92" s="21">
        <v>91</v>
      </c>
      <c r="B92" s="22" t="s">
        <v>172</v>
      </c>
      <c r="C92" s="23" t="s">
        <v>68</v>
      </c>
      <c r="D92" s="24" t="str">
        <f>VLOOKUP(A92,[1]CPS!A91:AG275,3,FALSE)</f>
        <v>CD-DTAM NACION-CPS No. 091 - 2022</v>
      </c>
      <c r="E92" s="25">
        <v>91</v>
      </c>
      <c r="F92" s="21" t="str">
        <f>VLOOKUP(A92,[1]CPS!A91:AG275,4,FALSE)</f>
        <v>ELMER JULIAN COELLO GUERRERO</v>
      </c>
      <c r="G92" s="90">
        <f>VLOOKUP(A92,[1]CPS!A91:AU275,43,FALSE)</f>
        <v>44588</v>
      </c>
      <c r="H92" s="21" t="str">
        <f>VLOOKUP(A92,[1]CPS!A91:AG275,9,FALSE)</f>
        <v>Prestar servicios técnicos y de apoyo a la gestión para operación de los equipos y máquinas asignados al Parque Nacional Natural Amacayacu, mantenimiento de la infraestructura del Centro de Visitantes y del sector de Matamatá</v>
      </c>
      <c r="I92" s="91" t="s">
        <v>69</v>
      </c>
      <c r="J92" s="22" t="s">
        <v>70</v>
      </c>
      <c r="K92" s="25" t="s">
        <v>71</v>
      </c>
      <c r="L92" s="21">
        <f>VLOOKUP(A92,[1]CPS!A91:AG275,16,FALSE)</f>
        <v>5322</v>
      </c>
      <c r="M92" s="21">
        <f>VLOOKUP(A92,[1]CPS!A91:AG275,18,FALSE)</f>
        <v>12822</v>
      </c>
      <c r="N92" s="29">
        <f>VLOOKUP(A92,[1]CPS!A91:AG275,19,FALSE)</f>
        <v>44588</v>
      </c>
      <c r="O92" s="21" t="str">
        <f>VLOOKUP(A92,[1]CPS!A91:AU275,46,FALSE)</f>
        <v>ADMINISTRACION</v>
      </c>
      <c r="P92" s="30">
        <f>VLOOKUP(A92,[1]CPS!A91:AG275,13,FALSE)</f>
        <v>2330000</v>
      </c>
      <c r="Q92" s="92">
        <f>VLOOKUP(A92,[1]CPS!A91:AG275,12,FALSE)</f>
        <v>25552000</v>
      </c>
      <c r="S92" s="22" t="s">
        <v>72</v>
      </c>
      <c r="T92" s="22" t="s">
        <v>73</v>
      </c>
      <c r="U92" s="93">
        <f>VLOOKUP(A92,[1]CPS!A91:AG275,5,FALSE)</f>
        <v>18051347</v>
      </c>
      <c r="V92" s="34" t="s">
        <v>74</v>
      </c>
      <c r="W92" s="21" t="s">
        <v>75</v>
      </c>
      <c r="X92" s="35" t="s">
        <v>71</v>
      </c>
      <c r="Y92" s="21" t="str">
        <f t="shared" si="2"/>
        <v>ELMER JULIAN COELLO GUERRERO</v>
      </c>
      <c r="Z92" s="21" t="str">
        <f>VLOOKUP(A92,[1]CPS!A91:AU275,35,FALSE)</f>
        <v>6 NO CONSTITUYÓ GARANTÍAS</v>
      </c>
      <c r="AA92" s="25" t="str">
        <f>VLOOKUP(A92,[1]CPS!A91:AU275,37,FALSE)</f>
        <v>N/A</v>
      </c>
      <c r="AB92" s="55" t="s">
        <v>71</v>
      </c>
      <c r="AC92" s="56" t="str">
        <f>VLOOKUP(A92,[1]CPS!A91:AU275,38,FALSE)</f>
        <v>N/A</v>
      </c>
      <c r="AD92" s="55" t="str">
        <f>VLOOKUP(A92,[1]CPS!A91:AU275,39,FALSE)</f>
        <v>N/A</v>
      </c>
      <c r="AE92" s="21" t="str">
        <f>VLOOKUP(A92,[1]CPS!A91:AU275,36,FALSE)</f>
        <v>PNN Amacayacu</v>
      </c>
      <c r="AF92" s="22" t="s">
        <v>77</v>
      </c>
      <c r="AG92" s="22" t="s">
        <v>73</v>
      </c>
      <c r="AH92" s="38">
        <f>VLOOKUP(A92,[1]CPS!A91:AU275,41,FALSE)</f>
        <v>51935320</v>
      </c>
      <c r="AI92" s="21" t="str">
        <f>VLOOKUP(A92,[1]CPS!A91:AU275,29,FALSE)</f>
        <v>ELIANA MARTINEZ RUEDA</v>
      </c>
      <c r="AJ92" s="35">
        <f>VLOOKUP(A92,[1]CPS!A91:AH275,34,FALSE)</f>
        <v>330</v>
      </c>
      <c r="AL92" s="94" t="str">
        <f>VLOOKUP(A92,[1]CPS!A91:AU275,40,FALSE)</f>
        <v>N/A</v>
      </c>
      <c r="AM92" s="95">
        <f>VLOOKUP(A92,[1]CPS!A91:AU275,44,FALSE)</f>
        <v>44588</v>
      </c>
      <c r="AN92" s="22" t="s">
        <v>78</v>
      </c>
      <c r="AO92" s="22">
        <v>0</v>
      </c>
      <c r="AP92" s="42">
        <v>0</v>
      </c>
      <c r="AQ92" s="43"/>
      <c r="AR92" s="44">
        <v>0</v>
      </c>
      <c r="AT92" s="96">
        <f>VLOOKUP(A92,[1]CPS!A91:AU275,25,FALSE)</f>
        <v>44588</v>
      </c>
      <c r="AU92" s="96">
        <f>VLOOKUP(A92,[1]CPS!A91:AU275,26,FALSE)</f>
        <v>44921</v>
      </c>
      <c r="AV92" s="97"/>
      <c r="AW92" s="22" t="s">
        <v>79</v>
      </c>
      <c r="AZ92" s="22" t="s">
        <v>79</v>
      </c>
      <c r="BA92" s="22">
        <v>0</v>
      </c>
      <c r="BE92" s="98"/>
      <c r="BF92" s="99">
        <f t="shared" si="3"/>
        <v>25552000</v>
      </c>
      <c r="BG92" s="100" t="str">
        <f>VLOOKUP(A92,[1]CPS!A91:AU275,2,FALSE)</f>
        <v>CAROL ANGELICA CERCADO</v>
      </c>
      <c r="BH92" s="21" t="str">
        <f>VLOOKUP(A92,[1]CPS!A91:AU275,42,FALSE)</f>
        <v>https://www.secop.gov.co/CO1ContractsManagement/Tendering/ProcurementContractEdit/View?docUniqueIdentifier=CO1.PCCNTR.3464506</v>
      </c>
      <c r="BI92" s="22" t="s">
        <v>80</v>
      </c>
      <c r="BK92" s="51" t="str">
        <f>VLOOKUP(A92,[1]CPS!A91:AU275,33,FALSE)</f>
        <v>https://community.secop.gov.co/Public/Tendering/OpportunityDetail/Index?noticeUID=CO1.NTC.2742238&amp;isFromPublicArea=True&amp;isModal=False</v>
      </c>
      <c r="BO92" s="53" t="s">
        <v>81</v>
      </c>
    </row>
    <row r="93" spans="1:67" ht="15" customHeight="1">
      <c r="A93" s="21">
        <v>92</v>
      </c>
      <c r="B93" s="22" t="s">
        <v>173</v>
      </c>
      <c r="C93" s="23" t="s">
        <v>68</v>
      </c>
      <c r="D93" s="24" t="str">
        <f>VLOOKUP(A93,[1]CPS!A92:AG276,3,FALSE)</f>
        <v>CD-DTAM NACION-CPS No. 092 - 2022</v>
      </c>
      <c r="E93" s="25">
        <v>92</v>
      </c>
      <c r="F93" s="21" t="str">
        <f>VLOOKUP(A93,[1]CPS!A92:AG276,4,FALSE)</f>
        <v>MARIA PAULA PATIÑO MONTOYA</v>
      </c>
      <c r="G93" s="90">
        <f>VLOOKUP(A93,[1]CPS!A92:AU276,43,FALSE)</f>
        <v>44587</v>
      </c>
      <c r="H93" s="21" t="str">
        <f>VLOOKUP(A93,[1]CPS!A92:AG276,9,FALSE)</f>
        <v>Prestar servicios profesionales en la Dirección Territorial Amazonia de Parques Nacionales Naturales de Colombia, en psicología; con el fin de implementar el plan de acompañamiento psicosocial a través de distintas estrategias individuales y colectivas que aporten al bienestar psicológico de las personas y equipos de trabajo</v>
      </c>
      <c r="I93" s="91" t="s">
        <v>69</v>
      </c>
      <c r="J93" s="22" t="s">
        <v>70</v>
      </c>
      <c r="K93" s="25" t="s">
        <v>71</v>
      </c>
      <c r="L93" s="21">
        <f>VLOOKUP(A93,[1]CPS!A92:AG276,16,FALSE)</f>
        <v>11722</v>
      </c>
      <c r="M93" s="21">
        <f>VLOOKUP(A93,[1]CPS!A92:AG276,18,FALSE)</f>
        <v>12622</v>
      </c>
      <c r="N93" s="29">
        <f>VLOOKUP(A93,[1]CPS!A92:AG276,19,FALSE)</f>
        <v>44588</v>
      </c>
      <c r="O93" s="21" t="str">
        <f>VLOOKUP(A93,[1]CPS!A92:AU276,46,FALSE)</f>
        <v>FORTALECIMIENTO</v>
      </c>
      <c r="P93" s="30">
        <f>VLOOKUP(A93,[1]CPS!A92:AG276,13,FALSE)</f>
        <v>3764000</v>
      </c>
      <c r="Q93" s="92">
        <f>VLOOKUP(A93,[1]CPS!A92:AG276,12,FALSE)</f>
        <v>41278533</v>
      </c>
      <c r="S93" s="22" t="s">
        <v>72</v>
      </c>
      <c r="T93" s="22" t="s">
        <v>73</v>
      </c>
      <c r="U93" s="93">
        <f>VLOOKUP(A93,[1]CPS!A92:AG276,5,FALSE)</f>
        <v>1026273969</v>
      </c>
      <c r="V93" s="34" t="s">
        <v>74</v>
      </c>
      <c r="W93" s="21" t="s">
        <v>75</v>
      </c>
      <c r="X93" s="35" t="s">
        <v>71</v>
      </c>
      <c r="Y93" s="21" t="str">
        <f t="shared" si="2"/>
        <v>MARIA PAULA PATIÑO MONTOYA</v>
      </c>
      <c r="Z93" s="21" t="str">
        <f>VLOOKUP(A93,[1]CPS!A92:AU276,35,FALSE)</f>
        <v>6 NO CONSTITUYÓ GARANTÍAS</v>
      </c>
      <c r="AA93" s="25" t="str">
        <f>VLOOKUP(A93,[1]CPS!A92:AU276,37,FALSE)</f>
        <v>N/A</v>
      </c>
      <c r="AB93" s="55" t="s">
        <v>71</v>
      </c>
      <c r="AC93" s="56" t="str">
        <f>VLOOKUP(A93,[1]CPS!A92:AU276,38,FALSE)</f>
        <v>N/A</v>
      </c>
      <c r="AD93" s="55" t="str">
        <f>VLOOKUP(A93,[1]CPS!A92:AU276,39,FALSE)</f>
        <v>N/A</v>
      </c>
      <c r="AE93" s="21" t="str">
        <f>VLOOKUP(A93,[1]CPS!A92:AU276,36,FALSE)</f>
        <v>Dirección Territorial Amazonía</v>
      </c>
      <c r="AF93" s="22" t="s">
        <v>77</v>
      </c>
      <c r="AG93" s="22" t="s">
        <v>73</v>
      </c>
      <c r="AH93" s="38">
        <f>VLOOKUP(A93,[1]CPS!A92:AU276,41,FALSE)</f>
        <v>24344682</v>
      </c>
      <c r="AI93" s="21" t="str">
        <f>VLOOKUP(A93,[1]CPS!A92:AU276,29,FALSE)</f>
        <v>JONNATHAN ALEJANDRO SUEREZ PEÑA</v>
      </c>
      <c r="AJ93" s="35">
        <f>VLOOKUP(A93,[1]CPS!A92:AH276,34,FALSE)</f>
        <v>329</v>
      </c>
      <c r="AL93" s="94" t="str">
        <f>VLOOKUP(A93,[1]CPS!A92:AU276,40,FALSE)</f>
        <v>N/A</v>
      </c>
      <c r="AM93" s="95">
        <f>VLOOKUP(A93,[1]CPS!A92:AU276,44,FALSE)</f>
        <v>44588</v>
      </c>
      <c r="AN93" s="22" t="s">
        <v>78</v>
      </c>
      <c r="AO93" s="22">
        <v>0</v>
      </c>
      <c r="AP93" s="42">
        <v>0</v>
      </c>
      <c r="AQ93" s="43"/>
      <c r="AR93" s="44">
        <v>0</v>
      </c>
      <c r="AT93" s="96">
        <f>VLOOKUP(A93,[1]CPS!A92:AU276,25,FALSE)</f>
        <v>44588</v>
      </c>
      <c r="AU93" s="96">
        <f>VLOOKUP(A93,[1]CPS!A92:AU276,26,FALSE)</f>
        <v>0</v>
      </c>
      <c r="AV93" s="97"/>
      <c r="AW93" s="22" t="s">
        <v>79</v>
      </c>
      <c r="AZ93" s="22" t="s">
        <v>79</v>
      </c>
      <c r="BA93" s="22">
        <v>0</v>
      </c>
      <c r="BE93" s="98"/>
      <c r="BF93" s="99">
        <f t="shared" si="3"/>
        <v>41278533</v>
      </c>
      <c r="BG93" s="100" t="str">
        <f>VLOOKUP(A93,[1]CPS!A92:AU276,2,FALSE)</f>
        <v>LAURA CAROLINA CORREA RAMIREZ</v>
      </c>
      <c r="BH93" s="21" t="str">
        <f>VLOOKUP(A93,[1]CPS!A92:AU276,42,FALSE)</f>
        <v>https://www.secop.gov.co/CO1ContractsManagement/Tendering/ProcurementContractEdit/View?docUniqueIdentifier=CO1.PCCNTR.3461730</v>
      </c>
      <c r="BI93" s="22" t="s">
        <v>80</v>
      </c>
      <c r="BK93" s="51" t="str">
        <f>VLOOKUP(A93,[1]CPS!A92:AU276,33,FALSE)</f>
        <v>https://www.secop.gov.co/CO1ContractsManagement/Tendering/ProcurementContractEdit/View?docUniqueIdentifier=CO1.PCCNTR.3464506&amp;awardUniqueIdentifier=&amp;buyerDossierUniqueIdentifier=CO1.BDOS.2744513&amp;id=1716099&amp;prevCtxUrl=https%3a%2f%2fwww.secop.gov.co%2fCO1BusinessLine%2fTendering%2fBuyerDossierWorkspace%2fIndex%3fsortingState%3dLastModifiedDESC%26showAdvancedSearch%3dFalse%26showAdvancedSearchFields%3dFalse%26selectedDossier%3dCO1.BDOS.2744513%26selectedRequest%3dCO1.REQ.2821229%26&amp;prevCtxLbl=Procesos+de+la+Entidad+Estatal</v>
      </c>
      <c r="BO93" s="53" t="s">
        <v>81</v>
      </c>
    </row>
    <row r="94" spans="1:67" ht="15" customHeight="1">
      <c r="A94" s="21">
        <v>93</v>
      </c>
      <c r="B94" s="22" t="s">
        <v>174</v>
      </c>
      <c r="C94" s="23" t="s">
        <v>68</v>
      </c>
      <c r="D94" s="24" t="str">
        <f>VLOOKUP(A94,[1]CPS!A93:AG277,3,FALSE)</f>
        <v>CD-DTAM NACION-CPS No. 093 - 2022</v>
      </c>
      <c r="E94" s="25">
        <v>93</v>
      </c>
      <c r="F94" s="21" t="str">
        <f>VLOOKUP(A94,[1]CPS!A93:AG277,4,FALSE)</f>
        <v>CARLOS FERNANDO LEÓN QUINTERO</v>
      </c>
      <c r="G94" s="90">
        <f>VLOOKUP(A94,[1]CPS!A93:AU277,43,FALSE)</f>
        <v>44588</v>
      </c>
      <c r="H94" s="21" t="str">
        <f>VLOOKUP(A94,[1]CPS!A93:AG277,9,FALSE)</f>
        <v>Prestar servicios profesionales a la Dirección Territorial Amazonia, para orientar las acciones de la gestión fronteriza y el ordenamiento territorial, mediante la dinamización y fortalecimiento de escenarios que articulen la misión estratégica a escala regional, en los mecanismos de coordinación interinstitucional de acuerdo a los lineamientos de Parques Nacionales Naturales de Colombia</v>
      </c>
      <c r="I94" s="91" t="s">
        <v>69</v>
      </c>
      <c r="J94" s="22" t="s">
        <v>70</v>
      </c>
      <c r="K94" s="25" t="s">
        <v>71</v>
      </c>
      <c r="L94" s="21">
        <f>VLOOKUP(A94,[1]CPS!A93:AG277,16,FALSE)</f>
        <v>13622</v>
      </c>
      <c r="M94" s="21">
        <f>VLOOKUP(A94,[1]CPS!A93:AG277,18,FALSE)</f>
        <v>12922</v>
      </c>
      <c r="N94" s="29">
        <f>VLOOKUP(A94,[1]CPS!A93:AG277,19,FALSE)</f>
        <v>44588</v>
      </c>
      <c r="O94" s="21" t="str">
        <f>VLOOKUP(A94,[1]CPS!A93:AU277,46,FALSE)</f>
        <v>ADMINISTRACION</v>
      </c>
      <c r="P94" s="30">
        <f>VLOOKUP(A94,[1]CPS!A93:AG277,13,FALSE)</f>
        <v>5700000</v>
      </c>
      <c r="Q94" s="92">
        <f>VLOOKUP(A94,[1]CPS!A93:AG277,12,FALSE)</f>
        <v>62510000</v>
      </c>
      <c r="S94" s="22" t="s">
        <v>72</v>
      </c>
      <c r="T94" s="22" t="s">
        <v>73</v>
      </c>
      <c r="U94" s="93">
        <f>VLOOKUP(A94,[1]CPS!A93:AG277,5,FALSE)</f>
        <v>1022351858</v>
      </c>
      <c r="V94" s="34" t="s">
        <v>74</v>
      </c>
      <c r="W94" s="21" t="s">
        <v>75</v>
      </c>
      <c r="X94" s="35" t="s">
        <v>71</v>
      </c>
      <c r="Y94" s="21" t="str">
        <f t="shared" si="2"/>
        <v>CARLOS FERNANDO LEÓN QUINTERO</v>
      </c>
      <c r="Z94" s="21" t="str">
        <f>VLOOKUP(A94,[1]CPS!A93:AU277,35,FALSE)</f>
        <v>6 NO CONSTITUYÓ GARANTÍAS</v>
      </c>
      <c r="AA94" s="25" t="str">
        <f>VLOOKUP(A94,[1]CPS!A93:AU277,37,FALSE)</f>
        <v>N/A</v>
      </c>
      <c r="AB94" s="55" t="s">
        <v>71</v>
      </c>
      <c r="AC94" s="56" t="str">
        <f>VLOOKUP(A94,[1]CPS!A93:AU277,38,FALSE)</f>
        <v>N/A</v>
      </c>
      <c r="AD94" s="55" t="str">
        <f>VLOOKUP(A94,[1]CPS!A93:AU277,39,FALSE)</f>
        <v>N/A</v>
      </c>
      <c r="AE94" s="21" t="str">
        <f>VLOOKUP(A94,[1]CPS!A93:AU277,36,FALSE)</f>
        <v>Dirección Territorial Amazonía</v>
      </c>
      <c r="AF94" s="22" t="s">
        <v>77</v>
      </c>
      <c r="AG94" s="22" t="s">
        <v>73</v>
      </c>
      <c r="AH94" s="38">
        <f>VLOOKUP(A94,[1]CPS!A93:AU277,41,FALSE)</f>
        <v>91297841</v>
      </c>
      <c r="AI94" s="21" t="str">
        <f>VLOOKUP(A94,[1]CPS!A93:AU277,29,FALSE)</f>
        <v>NANCY ESPERANZA RIVERA VEGA</v>
      </c>
      <c r="AJ94" s="35">
        <f>VLOOKUP(A94,[1]CPS!A93:AH277,34,FALSE)</f>
        <v>329</v>
      </c>
      <c r="AL94" s="94" t="str">
        <f>VLOOKUP(A94,[1]CPS!A93:AU277,40,FALSE)</f>
        <v>N/A</v>
      </c>
      <c r="AM94" s="95">
        <f>VLOOKUP(A94,[1]CPS!A93:AU277,44,FALSE)</f>
        <v>44589</v>
      </c>
      <c r="AN94" s="22" t="s">
        <v>78</v>
      </c>
      <c r="AO94" s="22">
        <v>0</v>
      </c>
      <c r="AP94" s="42">
        <v>0</v>
      </c>
      <c r="AQ94" s="43"/>
      <c r="AR94" s="44">
        <v>0</v>
      </c>
      <c r="AT94" s="96">
        <f>VLOOKUP(A94,[1]CPS!A93:AU277,25,FALSE)</f>
        <v>44588</v>
      </c>
      <c r="AU94" s="96">
        <f>VLOOKUP(A94,[1]CPS!A93:AU277,26,FALSE)</f>
        <v>44920</v>
      </c>
      <c r="AV94" s="97"/>
      <c r="AW94" s="22" t="s">
        <v>79</v>
      </c>
      <c r="AZ94" s="22" t="s">
        <v>79</v>
      </c>
      <c r="BA94" s="22">
        <v>0</v>
      </c>
      <c r="BE94" s="98"/>
      <c r="BF94" s="99">
        <f t="shared" si="3"/>
        <v>62510000</v>
      </c>
      <c r="BG94" s="100" t="str">
        <f>VLOOKUP(A94,[1]CPS!A93:AU277,2,FALSE)</f>
        <v>LAURA CAROLINA CORREA RAMIREZ</v>
      </c>
      <c r="BH94" s="21" t="str">
        <f>VLOOKUP(A94,[1]CPS!A93:AU277,42,FALSE)</f>
        <v>https://www.secop.gov.co/CO1ContractsManagement/Tendering/ProcurementContractEdit/View?docUniqueIdentifier=CO1.PCCNTR.3471179</v>
      </c>
      <c r="BI94" s="22" t="s">
        <v>80</v>
      </c>
      <c r="BK94" s="51" t="str">
        <f>VLOOKUP(A94,[1]CPS!A93:AU277,33,FALSE)</f>
        <v>https://community.secop.gov.co/Public/Tendering/OpportunityDetail/Index?noticeUID=CO1.NTC.2743091&amp;isFromPublicArea=True&amp;isModal=False</v>
      </c>
      <c r="BO94" s="53" t="s">
        <v>81</v>
      </c>
    </row>
    <row r="95" spans="1:67" ht="15" customHeight="1">
      <c r="A95" s="21">
        <v>94</v>
      </c>
      <c r="B95" s="22" t="s">
        <v>175</v>
      </c>
      <c r="C95" s="23" t="s">
        <v>68</v>
      </c>
      <c r="D95" s="24" t="str">
        <f>VLOOKUP(A95,[1]CPS!A94:AG278,3,FALSE)</f>
        <v>CD-DTAM NACION-CPS No. 094 - 2022</v>
      </c>
      <c r="E95" s="25">
        <v>94</v>
      </c>
      <c r="F95" s="21" t="str">
        <f>VLOOKUP(A95,[1]CPS!A94:AG278,4,FALSE)</f>
        <v>LINO YUCUNA MATAPI</v>
      </c>
      <c r="G95" s="90">
        <f>VLOOKUP(A95,[1]CPS!A94:AU278,43,FALSE)</f>
        <v>44589</v>
      </c>
      <c r="H95" s="21" t="str">
        <f>VLOOKUP(A95,[1]CPS!A94:AG278,9,FALSE)</f>
        <v>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
      <c r="I95" s="91" t="s">
        <v>69</v>
      </c>
      <c r="J95" s="22" t="s">
        <v>70</v>
      </c>
      <c r="K95" s="25" t="s">
        <v>71</v>
      </c>
      <c r="L95" s="21">
        <f>VLOOKUP(A95,[1]CPS!A94:AG278,16,FALSE)</f>
        <v>16622</v>
      </c>
      <c r="M95" s="21">
        <f>VLOOKUP(A95,[1]CPS!A94:AG278,18,FALSE)</f>
        <v>16722</v>
      </c>
      <c r="N95" s="29">
        <f>VLOOKUP(A95,[1]CPS!A94:AG278,19,FALSE)</f>
        <v>44589</v>
      </c>
      <c r="O95" s="21" t="str">
        <f>VLOOKUP(A95,[1]CPS!A94:AU278,46,FALSE)</f>
        <v>ADMINISTRACION</v>
      </c>
      <c r="P95" s="30">
        <f>VLOOKUP(A95,[1]CPS!A94:AG278,13,FALSE)</f>
        <v>1900000</v>
      </c>
      <c r="Q95" s="92">
        <f>VLOOKUP(A95,[1]CPS!A94:AG278,12,FALSE)</f>
        <v>20900000</v>
      </c>
      <c r="S95" s="22" t="s">
        <v>72</v>
      </c>
      <c r="T95" s="22" t="s">
        <v>73</v>
      </c>
      <c r="U95" s="93">
        <f>VLOOKUP(A95,[1]CPS!A94:AG278,5,FALSE)</f>
        <v>6566349</v>
      </c>
      <c r="V95" s="34" t="s">
        <v>74</v>
      </c>
      <c r="W95" s="21" t="s">
        <v>75</v>
      </c>
      <c r="X95" s="35" t="s">
        <v>71</v>
      </c>
      <c r="Y95" s="21" t="str">
        <f t="shared" si="2"/>
        <v>LINO YUCUNA MATAPI</v>
      </c>
      <c r="Z95" s="21" t="str">
        <f>VLOOKUP(A95,[1]CPS!A94:AU278,35,FALSE)</f>
        <v>6 NO CONSTITUYÓ GARANTÍAS</v>
      </c>
      <c r="AA95" s="35" t="str">
        <f>VLOOKUP(A95,[1]CPS!A94:AU278,37,FALSE)</f>
        <v>N/A</v>
      </c>
      <c r="AB95" s="55" t="s">
        <v>71</v>
      </c>
      <c r="AC95" s="56" t="str">
        <f>VLOOKUP(A95,[1]CPS!A94:AU278,38,FALSE)</f>
        <v>N/A</v>
      </c>
      <c r="AD95" s="55" t="str">
        <f>VLOOKUP(A95,[1]CPS!A94:AU278,39,FALSE)</f>
        <v>N/A</v>
      </c>
      <c r="AE95" s="21" t="str">
        <f>VLOOKUP(A95,[1]CPS!A94:AU278,36,FALSE)</f>
        <v>PNN Cahuinari</v>
      </c>
      <c r="AF95" s="22" t="s">
        <v>77</v>
      </c>
      <c r="AG95" s="22" t="s">
        <v>73</v>
      </c>
      <c r="AH95" s="38">
        <f>VLOOKUP(A95,[1]CPS!A94:AU278,41,FALSE)</f>
        <v>10289238</v>
      </c>
      <c r="AI95" s="21" t="str">
        <f>VLOOKUP(A95,[1]CPS!A94:AU278,29,FALSE)</f>
        <v>IVAN DARIO QUICENO GALLEGO</v>
      </c>
      <c r="AJ95" s="35">
        <f>VLOOKUP(A95,[1]CPS!A94:AH278,34,FALSE)</f>
        <v>329</v>
      </c>
      <c r="AL95" s="94" t="str">
        <f>VLOOKUP(A95,[1]CPS!A94:AU278,40,FALSE)</f>
        <v>N/A</v>
      </c>
      <c r="AM95" s="95">
        <f>VLOOKUP(A95,[1]CPS!A94:AU278,44,FALSE)</f>
        <v>44600</v>
      </c>
      <c r="AN95" s="22" t="s">
        <v>78</v>
      </c>
      <c r="AO95" s="22">
        <v>0</v>
      </c>
      <c r="AP95" s="42">
        <v>0</v>
      </c>
      <c r="AQ95" s="43"/>
      <c r="AR95" s="44">
        <v>0</v>
      </c>
      <c r="AT95" s="96">
        <f>VLOOKUP(A95,[1]CPS!A94:AU278,25,FALSE)</f>
        <v>44589</v>
      </c>
      <c r="AU95" s="96">
        <f>VLOOKUP(A95,[1]CPS!A94:AU278,26,FALSE)</f>
        <v>44919</v>
      </c>
      <c r="AV95" s="97"/>
      <c r="AW95" s="22" t="s">
        <v>79</v>
      </c>
      <c r="AZ95" s="22" t="s">
        <v>79</v>
      </c>
      <c r="BA95" s="22">
        <v>0</v>
      </c>
      <c r="BE95" s="98"/>
      <c r="BF95" s="99">
        <f t="shared" si="3"/>
        <v>20900000</v>
      </c>
      <c r="BG95" s="100" t="str">
        <f>VLOOKUP(A95,[1]CPS!A94:AU278,2,FALSE)</f>
        <v>NORYLY AGUIRRE OTALORA</v>
      </c>
      <c r="BH95" s="21" t="str">
        <f>VLOOKUP(A95,[1]CPS!A94:AU278,42,FALSE)</f>
        <v>https://www.secop.gov.co/CO1ContractsManagement/Tendering/ProcurementContractEdit/View?docUniqueIdentifier=CO1.PCCNTR.3521378</v>
      </c>
      <c r="BI95" s="22" t="s">
        <v>80</v>
      </c>
      <c r="BK95" s="51" t="str">
        <f>VLOOKUP(A95,[1]CPS!A94:AU278,33,FALSE)</f>
        <v>https://community.secop.gov.co/Public/Tendering/OpportunityDetail/Index?noticeUID=CO1.NTC.2751153&amp;isFromPublicArea=True&amp;isModal=False</v>
      </c>
      <c r="BO95" s="53" t="s">
        <v>81</v>
      </c>
    </row>
    <row r="96" spans="1:67" ht="15" customHeight="1">
      <c r="A96" s="21">
        <v>95</v>
      </c>
      <c r="B96" s="22" t="s">
        <v>176</v>
      </c>
      <c r="C96" s="23" t="s">
        <v>68</v>
      </c>
      <c r="D96" s="24" t="str">
        <f>VLOOKUP(A96,[1]CPS!A95:AG279,3,FALSE)</f>
        <v>CD-DTAM NACION-CPS No. 095 - 2022</v>
      </c>
      <c r="E96" s="25">
        <v>95</v>
      </c>
      <c r="F96" s="21" t="str">
        <f>VLOOKUP(A96,[1]CPS!A95:AG279,4,FALSE)</f>
        <v>LEOPOLDO LEON ALBAN</v>
      </c>
      <c r="G96" s="90">
        <f>VLOOKUP(A96,[1]CPS!A95:AU279,43,FALSE)</f>
        <v>44589</v>
      </c>
      <c r="H96" s="21" t="str">
        <f>VLOOKUP(A96,[1]CPS!A95:AG279,9,FALSE)</f>
        <v>Prestar servicios asistenciales y de apoyo a la gestión en actividades de regulación, uso y aprovechamiento de los recursos naturales en la zona sur del Parque Nacional Natural Amacayacu.</v>
      </c>
      <c r="I96" s="91" t="s">
        <v>69</v>
      </c>
      <c r="J96" s="22" t="s">
        <v>70</v>
      </c>
      <c r="K96" s="25" t="s">
        <v>71</v>
      </c>
      <c r="L96" s="21">
        <f>VLOOKUP(A96,[1]CPS!A95:AG279,16,FALSE)</f>
        <v>5822</v>
      </c>
      <c r="M96" s="21">
        <f>VLOOKUP(A96,[1]CPS!A95:AG279,18,FALSE)</f>
        <v>15722</v>
      </c>
      <c r="N96" s="29">
        <f>VLOOKUP(A96,[1]CPS!A95:AG279,19,FALSE)</f>
        <v>44589</v>
      </c>
      <c r="O96" s="21" t="str">
        <f>VLOOKUP(A96,[1]CPS!A95:AU279,46,FALSE)</f>
        <v>ADMINISTRACION</v>
      </c>
      <c r="P96" s="30">
        <f>VLOOKUP(A96,[1]CPS!A95:AG279,13,FALSE)</f>
        <v>1412000</v>
      </c>
      <c r="Q96" s="92">
        <f>VLOOKUP(A96,[1]CPS!A95:AG279,12,FALSE)</f>
        <v>15532000</v>
      </c>
      <c r="S96" s="22" t="s">
        <v>72</v>
      </c>
      <c r="T96" s="22" t="s">
        <v>73</v>
      </c>
      <c r="U96" s="93">
        <f>VLOOKUP(A96,[1]CPS!A95:AG279,5,FALSE)</f>
        <v>18051619</v>
      </c>
      <c r="V96" s="34" t="s">
        <v>74</v>
      </c>
      <c r="W96" s="21" t="s">
        <v>75</v>
      </c>
      <c r="X96" s="35" t="s">
        <v>71</v>
      </c>
      <c r="Y96" s="21" t="str">
        <f t="shared" si="2"/>
        <v>LEOPOLDO LEON ALBAN</v>
      </c>
      <c r="Z96" s="21" t="str">
        <f>VLOOKUP(A96,[1]CPS!A95:AU279,35,FALSE)</f>
        <v>6 NO CONSTITUYÓ GARANTÍAS</v>
      </c>
      <c r="AA96" s="25" t="str">
        <f>VLOOKUP(A96,[1]CPS!A95:AU279,37,FALSE)</f>
        <v>N/A</v>
      </c>
      <c r="AB96" s="55" t="s">
        <v>71</v>
      </c>
      <c r="AC96" s="56" t="str">
        <f>VLOOKUP(A96,[1]CPS!A95:AU279,38,FALSE)</f>
        <v>N/A</v>
      </c>
      <c r="AD96" s="55" t="str">
        <f>VLOOKUP(A96,[1]CPS!A95:AU279,39,FALSE)</f>
        <v>N/A</v>
      </c>
      <c r="AE96" s="21" t="str">
        <f>VLOOKUP(A96,[1]CPS!A95:AU279,36,FALSE)</f>
        <v>PNN Amacayacu</v>
      </c>
      <c r="AF96" s="22" t="s">
        <v>77</v>
      </c>
      <c r="AG96" s="22" t="s">
        <v>73</v>
      </c>
      <c r="AH96" s="38">
        <f>VLOOKUP(A96,[1]CPS!A95:AU279,41,FALSE)</f>
        <v>51935320</v>
      </c>
      <c r="AI96" s="21" t="str">
        <f>VLOOKUP(A96,[1]CPS!A95:AU279,29,FALSE)</f>
        <v>ELIANA MARTINEZ RUEDA</v>
      </c>
      <c r="AJ96" s="35">
        <f>VLOOKUP(A96,[1]CPS!A95:AH279,34,FALSE)</f>
        <v>330</v>
      </c>
      <c r="AL96" s="94" t="str">
        <f>VLOOKUP(A96,[1]CPS!A95:AU279,40,FALSE)</f>
        <v>N/A</v>
      </c>
      <c r="AM96" s="95">
        <f>VLOOKUP(A96,[1]CPS!A95:AU279,44,FALSE)</f>
        <v>44589</v>
      </c>
      <c r="AN96" s="22" t="s">
        <v>78</v>
      </c>
      <c r="AO96" s="22">
        <v>0</v>
      </c>
      <c r="AP96" s="42">
        <v>0</v>
      </c>
      <c r="AQ96" s="43"/>
      <c r="AR96" s="44">
        <v>0</v>
      </c>
      <c r="AT96" s="96">
        <f>VLOOKUP(A96,[1]CPS!A95:AU279,25,FALSE)</f>
        <v>44589</v>
      </c>
      <c r="AU96" s="96">
        <f>VLOOKUP(A96,[1]CPS!A95:AU279,26,FALSE)</f>
        <v>44922</v>
      </c>
      <c r="AV96" s="97"/>
      <c r="AW96" s="22" t="s">
        <v>79</v>
      </c>
      <c r="AZ96" s="22" t="s">
        <v>79</v>
      </c>
      <c r="BA96" s="22">
        <v>0</v>
      </c>
      <c r="BE96" s="98"/>
      <c r="BF96" s="99">
        <f t="shared" si="3"/>
        <v>15532000</v>
      </c>
      <c r="BG96" s="100" t="str">
        <f>VLOOKUP(A96,[1]CPS!A95:AU279,2,FALSE)</f>
        <v>CAROL ANGELICA CERCADO</v>
      </c>
      <c r="BH96" s="21" t="str">
        <f>VLOOKUP(A96,[1]CPS!A95:AU279,42,FALSE)</f>
        <v>https://www.secop.gov.co/CO1ContractsManagement/Tendering/ProcurementContractEdit/View?docUniqueIdentifier=CO1.PCCNTR.3509110</v>
      </c>
      <c r="BI96" s="22" t="s">
        <v>80</v>
      </c>
      <c r="BK96" s="51" t="str">
        <f>VLOOKUP(A96,[1]CPS!A95:AU279,33,FALSE)</f>
        <v>https://community.secop.gov.co/Public/Tendering/ContractNoticePhases/View?PPI=CO1.PPI.17342627&amp;isFromPublicArea=True&amp;isModal=False</v>
      </c>
      <c r="BO96" s="53" t="s">
        <v>81</v>
      </c>
    </row>
    <row r="97" spans="1:67" ht="15" customHeight="1">
      <c r="A97" s="21">
        <v>96</v>
      </c>
      <c r="B97" s="22" t="s">
        <v>177</v>
      </c>
      <c r="C97" s="23" t="s">
        <v>68</v>
      </c>
      <c r="D97" s="24" t="str">
        <f>VLOOKUP(A97,[1]CPS!A96:AG280,3,FALSE)</f>
        <v>CD-DTAM NACION-CPS No. 096 - 2022</v>
      </c>
      <c r="E97" s="25">
        <v>96</v>
      </c>
      <c r="F97" s="21" t="str">
        <f>VLOOKUP(A97,[1]CPS!A96:AG280,4,FALSE)</f>
        <v>XERLINTON ZAPATA ARCENALES</v>
      </c>
      <c r="G97" s="90">
        <f>VLOOKUP(A97,[1]CPS!A96:AU280,43,FALSE)</f>
        <v>44588</v>
      </c>
      <c r="H97" s="21" t="str">
        <f>VLOOKUP(A97,[1]CPS!A96:AG280,9,FALSE)</f>
        <v>Prestar servicios técnicos y de apoyo al Ecoturismo de base comunitaria, como estrategia de conservación y desarrollo de la valoración social del territorio en el Parque Nacional Natural Amacayacu.</v>
      </c>
      <c r="I97" s="91" t="s">
        <v>69</v>
      </c>
      <c r="J97" s="22" t="s">
        <v>70</v>
      </c>
      <c r="K97" s="25" t="s">
        <v>71</v>
      </c>
      <c r="L97" s="21">
        <f>VLOOKUP(A97,[1]CPS!A96:AG280,16,FALSE)</f>
        <v>8522</v>
      </c>
      <c r="M97" s="21">
        <f>VLOOKUP(A97,[1]CPS!A96:AG280,18,FALSE)</f>
        <v>14222</v>
      </c>
      <c r="N97" s="29">
        <f>VLOOKUP(A97,[1]CPS!A96:AG280,19,FALSE)</f>
        <v>44588</v>
      </c>
      <c r="O97" s="21" t="str">
        <f>VLOOKUP(A97,[1]CPS!A96:AU280,46,FALSE)</f>
        <v>ADMINISTRACION</v>
      </c>
      <c r="P97" s="30">
        <f>VLOOKUP(A97,[1]CPS!A96:AG280,13,FALSE)</f>
        <v>1412000</v>
      </c>
      <c r="Q97" s="92">
        <f>VLOOKUP(A97,[1]CPS!A96:AG280,12,FALSE)</f>
        <v>15532000</v>
      </c>
      <c r="S97" s="22" t="s">
        <v>72</v>
      </c>
      <c r="T97" s="22" t="s">
        <v>73</v>
      </c>
      <c r="U97" s="93">
        <f>VLOOKUP(A97,[1]CPS!A96:AG280,5,FALSE)</f>
        <v>15879119</v>
      </c>
      <c r="V97" s="34" t="s">
        <v>74</v>
      </c>
      <c r="W97" s="21" t="s">
        <v>75</v>
      </c>
      <c r="X97" s="35" t="s">
        <v>71</v>
      </c>
      <c r="Y97" s="21" t="str">
        <f t="shared" si="2"/>
        <v>XERLINTON ZAPATA ARCENALES</v>
      </c>
      <c r="Z97" s="21" t="str">
        <f>VLOOKUP(A97,[1]CPS!A96:AU280,35,FALSE)</f>
        <v>6 NO CONSTITUYÓ GARANTÍAS</v>
      </c>
      <c r="AA97" s="25" t="str">
        <f>VLOOKUP(A97,[1]CPS!A96:AU280,37,FALSE)</f>
        <v>N/A</v>
      </c>
      <c r="AB97" s="55" t="s">
        <v>71</v>
      </c>
      <c r="AC97" s="56" t="str">
        <f>VLOOKUP(A97,[1]CPS!A96:AU280,38,FALSE)</f>
        <v>N/A</v>
      </c>
      <c r="AD97" s="55" t="str">
        <f>VLOOKUP(A97,[1]CPS!A96:AU280,39,FALSE)</f>
        <v>N/A</v>
      </c>
      <c r="AE97" s="21" t="str">
        <f>VLOOKUP(A97,[1]CPS!A96:AU280,36,FALSE)</f>
        <v>PNN Amacayacu</v>
      </c>
      <c r="AF97" s="22" t="s">
        <v>77</v>
      </c>
      <c r="AG97" s="22" t="s">
        <v>73</v>
      </c>
      <c r="AH97" s="38">
        <f>VLOOKUP(A97,[1]CPS!A96:AU280,41,FALSE)</f>
        <v>51935320</v>
      </c>
      <c r="AI97" s="21" t="str">
        <f>VLOOKUP(A97,[1]CPS!A96:AU280,29,FALSE)</f>
        <v>ELIANA MARTINEZ RUEDA</v>
      </c>
      <c r="AJ97" s="35">
        <f>VLOOKUP(A97,[1]CPS!A96:AH280,34,FALSE)</f>
        <v>330</v>
      </c>
      <c r="AL97" s="94" t="str">
        <f>VLOOKUP(A97,[1]CPS!A96:AU280,40,FALSE)</f>
        <v>N/A</v>
      </c>
      <c r="AM97" s="95">
        <f>VLOOKUP(A97,[1]CPS!A96:AU280,44,FALSE)</f>
        <v>44588</v>
      </c>
      <c r="AN97" s="22" t="s">
        <v>78</v>
      </c>
      <c r="AO97" s="22">
        <v>0</v>
      </c>
      <c r="AP97" s="42">
        <v>0</v>
      </c>
      <c r="AQ97" s="43"/>
      <c r="AR97" s="44">
        <v>0</v>
      </c>
      <c r="AT97" s="96">
        <f>VLOOKUP(A97,[1]CPS!A96:AU280,25,FALSE)</f>
        <v>44589</v>
      </c>
      <c r="AU97" s="96">
        <f>VLOOKUP(A97,[1]CPS!A96:AU280,26,FALSE)</f>
        <v>44922</v>
      </c>
      <c r="AV97" s="97"/>
      <c r="AW97" s="22" t="s">
        <v>79</v>
      </c>
      <c r="AZ97" s="22" t="s">
        <v>79</v>
      </c>
      <c r="BA97" s="22">
        <v>0</v>
      </c>
      <c r="BE97" s="98"/>
      <c r="BF97" s="99">
        <f t="shared" si="3"/>
        <v>15532000</v>
      </c>
      <c r="BG97" s="100" t="str">
        <f>VLOOKUP(A97,[1]CPS!A96:AU280,2,FALSE)</f>
        <v>CAROL ANGELICA CERCADO</v>
      </c>
      <c r="BH97" s="21" t="str">
        <f>VLOOKUP(A97,[1]CPS!A96:AU280,42,FALSE)</f>
        <v>https://www.secop.gov.co/CO1ContractsManagement/Tendering/ProcurementContractEdit/View?docUniqueIdentifier=CO1.PCCNTR.3466129</v>
      </c>
      <c r="BI97" s="22" t="s">
        <v>80</v>
      </c>
      <c r="BK97" s="51" t="str">
        <f>VLOOKUP(A97,[1]CPS!A96:AU280,33,FALSE)</f>
        <v>https://www.secop.gov.co/CO1ContractsManagement/Tendering/ProcurementContractEdit/View?docUniqueIdentifier=CO1.PCCNTR.3509110&amp;awardUniqueIdentifier=&amp;buyerDossierUniqueIdentifier=CO1.BDOS.2777906&amp;id=1758245&amp;prevCtxUrl=https%3a%2f%2fwww.secop.gov.co%2fCO1BusinessLine%2fTendering%2fBuyerDossierWorkspace%2fIndex%3fsortingState%3dLastModifiedDESC%26showAdvancedSearch%3dFalse%26showAdvancedSearchFields%3dFalse%26selectedDossier%3dCO1.BDOS.2777906%26selectedRequest%3dCO1.REQ.2854097%26&amp;prevCtxLbl=Procesos+de+la+Entidad+Estatal</v>
      </c>
      <c r="BO97" s="53" t="s">
        <v>81</v>
      </c>
    </row>
    <row r="98" spans="1:67" ht="15" customHeight="1">
      <c r="A98" s="21">
        <v>97</v>
      </c>
      <c r="B98" s="22" t="s">
        <v>178</v>
      </c>
      <c r="C98" s="23" t="s">
        <v>68</v>
      </c>
      <c r="D98" s="24" t="str">
        <f>VLOOKUP(A98,[1]CPS!A97:AG281,3,FALSE)</f>
        <v>CD-DTAM NACION-CPS No. 097 - 2022</v>
      </c>
      <c r="E98" s="25">
        <v>97</v>
      </c>
      <c r="F98" s="21" t="str">
        <f>VLOOKUP(A98,[1]CPS!A97:AG281,4,FALSE)</f>
        <v>JULIANA ASTUDILLO ZUMAETA</v>
      </c>
      <c r="G98" s="90">
        <f>VLOOKUP(A98,[1]CPS!A97:AU281,43,FALSE)</f>
        <v>44589</v>
      </c>
      <c r="H98" s="21" t="str">
        <f>VLOOKUP(A98,[1]CPS!A97:AG281,9,FALSE)</f>
        <v>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
      <c r="I98" s="91" t="s">
        <v>69</v>
      </c>
      <c r="J98" s="22" t="s">
        <v>70</v>
      </c>
      <c r="K98" s="25" t="s">
        <v>71</v>
      </c>
      <c r="L98" s="21">
        <f>VLOOKUP(A98,[1]CPS!A97:AG281,16,FALSE)</f>
        <v>10122</v>
      </c>
      <c r="M98" s="21">
        <f>VLOOKUP(A98,[1]CPS!A97:AG281,18,FALSE)</f>
        <v>15922</v>
      </c>
      <c r="N98" s="29">
        <f>VLOOKUP(A98,[1]CPS!A97:AG281,19,FALSE)</f>
        <v>44589</v>
      </c>
      <c r="O98" s="21" t="str">
        <f>VLOOKUP(A98,[1]CPS!A97:AU281,46,FALSE)</f>
        <v>FORTALECIMIENTO</v>
      </c>
      <c r="P98" s="30">
        <f>VLOOKUP(A98,[1]CPS!A97:AG281,13,FALSE)</f>
        <v>2812000</v>
      </c>
      <c r="Q98" s="92">
        <f>VLOOKUP(A98,[1]CPS!A97:AG281,12,FALSE)</f>
        <v>30932000</v>
      </c>
      <c r="S98" s="22" t="s">
        <v>72</v>
      </c>
      <c r="T98" s="22" t="s">
        <v>73</v>
      </c>
      <c r="U98" s="93">
        <f>VLOOKUP(A98,[1]CPS!A97:AG281,5,FALSE)</f>
        <v>41058554</v>
      </c>
      <c r="V98" s="34" t="s">
        <v>74</v>
      </c>
      <c r="W98" s="21" t="s">
        <v>75</v>
      </c>
      <c r="X98" s="35" t="s">
        <v>71</v>
      </c>
      <c r="Y98" s="21" t="str">
        <f t="shared" si="2"/>
        <v>JULIANA ASTUDILLO ZUMAETA</v>
      </c>
      <c r="Z98" s="21" t="str">
        <f>VLOOKUP(A98,[1]CPS!A97:AU281,35,FALSE)</f>
        <v>6 NO CONSTITUYÓ GARANTÍAS</v>
      </c>
      <c r="AA98" s="25" t="str">
        <f>VLOOKUP(A98,[1]CPS!A97:AU281,37,FALSE)</f>
        <v>N/A</v>
      </c>
      <c r="AB98" s="55" t="s">
        <v>71</v>
      </c>
      <c r="AC98" s="56" t="str">
        <f>VLOOKUP(A98,[1]CPS!A97:AU281,38,FALSE)</f>
        <v>N/A</v>
      </c>
      <c r="AD98" s="55" t="str">
        <f>VLOOKUP(A98,[1]CPS!A97:AU281,39,FALSE)</f>
        <v>N/A</v>
      </c>
      <c r="AE98" s="21" t="str">
        <f>VLOOKUP(A98,[1]CPS!A97:AU281,36,FALSE)</f>
        <v>PNN Cahuinari</v>
      </c>
      <c r="AF98" s="22" t="s">
        <v>77</v>
      </c>
      <c r="AG98" s="22" t="s">
        <v>73</v>
      </c>
      <c r="AH98" s="38">
        <f>VLOOKUP(A98,[1]CPS!A97:AU281,41,FALSE)</f>
        <v>10289238</v>
      </c>
      <c r="AI98" s="21" t="str">
        <f>VLOOKUP(A98,[1]CPS!A97:AU281,29,FALSE)</f>
        <v>IVAN DARIO QUICENO GALLEGO</v>
      </c>
      <c r="AJ98" s="35">
        <f>VLOOKUP(A98,[1]CPS!A97:AH281,34,FALSE)</f>
        <v>330</v>
      </c>
      <c r="AL98" s="94" t="str">
        <f>VLOOKUP(A98,[1]CPS!A97:AU281,40,FALSE)</f>
        <v>N/A</v>
      </c>
      <c r="AM98" s="95">
        <f>VLOOKUP(A98,[1]CPS!A97:AU281,44,FALSE)</f>
        <v>44600</v>
      </c>
      <c r="AN98" s="22" t="s">
        <v>78</v>
      </c>
      <c r="AO98" s="22">
        <v>0</v>
      </c>
      <c r="AP98" s="42">
        <v>0</v>
      </c>
      <c r="AQ98" s="43"/>
      <c r="AR98" s="44">
        <v>0</v>
      </c>
      <c r="AT98" s="96">
        <f>VLOOKUP(A98,[1]CPS!A97:AU281,25,FALSE)</f>
        <v>44588</v>
      </c>
      <c r="AU98" s="96">
        <f>VLOOKUP(A98,[1]CPS!A97:AU281,26,FALSE)</f>
        <v>44921</v>
      </c>
      <c r="AV98" s="97"/>
      <c r="AW98" s="22" t="s">
        <v>79</v>
      </c>
      <c r="AZ98" s="22" t="s">
        <v>79</v>
      </c>
      <c r="BA98" s="22">
        <v>0</v>
      </c>
      <c r="BE98" s="98"/>
      <c r="BF98" s="99">
        <f t="shared" si="3"/>
        <v>30932000</v>
      </c>
      <c r="BG98" s="100" t="str">
        <f>VLOOKUP(A98,[1]CPS!A97:AU281,2,FALSE)</f>
        <v>NORYLY AGUIRRE OTALORA</v>
      </c>
      <c r="BH98" s="21" t="str">
        <f>VLOOKUP(A98,[1]CPS!A97:AU281,42,FALSE)</f>
        <v>https://www.secop.gov.co/CO1ContractsManagement/Tendering/ProcurementContractEdit/View?docUniqueIdentifier=CO1.PCCNTR.3500450</v>
      </c>
      <c r="BI98" s="22" t="s">
        <v>80</v>
      </c>
      <c r="BK98" s="51" t="str">
        <f>VLOOKUP(A98,[1]CPS!A97:AU281,33,FALSE)</f>
        <v>https://www.secop.gov.co/CO1ContractsManagement/Tendering/ProcurementContractEdit/View?docUniqueIdentifier=CO1.PCCNTR.3466129&amp;awardUniqueIdentifier=&amp;buyerDossierUniqueIdentifier=CO1.BDOS.2745073&amp;id=1717748&amp;prevCtxUrl=https%3a%2f%2fwww.secop.gov.co%2fCO1BusinessLine%2fTendering%2fBuyerDossierWorkspace%2fIndex%3fsortingState%3dLastModifiedDESC%26showAdvancedSearch%3dFalse%26showAdvancedSearchFields%3dFalse%26selectedDossier%3dCO1.BDOS.2745073%26selectedRequest%3dCO1.REQ.2822540%26&amp;prevCtxLbl=Procesos+de+la+Entidad+Estatal</v>
      </c>
      <c r="BO98" s="53" t="s">
        <v>81</v>
      </c>
    </row>
    <row r="99" spans="1:67" ht="15" customHeight="1">
      <c r="A99" s="21">
        <v>98</v>
      </c>
      <c r="B99" s="22" t="s">
        <v>179</v>
      </c>
      <c r="C99" s="23" t="s">
        <v>68</v>
      </c>
      <c r="D99" s="24" t="str">
        <f>VLOOKUP(A99,[1]CPS!A98:AG282,3,FALSE)</f>
        <v>CD-DTAM NACION-CPS No. 098 - 2022</v>
      </c>
      <c r="E99" s="25">
        <v>98</v>
      </c>
      <c r="F99" s="21" t="str">
        <f>VLOOKUP(A99,[1]CPS!A98:AG282,4,FALSE)</f>
        <v>ORLANDO HERNANDEZ CANAYO</v>
      </c>
      <c r="G99" s="90">
        <f>VLOOKUP(A99,[1]CPS!A98:AU282,43,FALSE)</f>
        <v>44588</v>
      </c>
      <c r="H99" s="21" t="str">
        <f>VLOOKUP(A99,[1]CPS!A98:AG282,9,FALSE)</f>
        <v>Prestar los servicios asistenciales y de apoyo a la gestión en actividades de regulación, uso y aprovechamiento de los recursos naturales en el sector norte del Parque Nacional Natural Amacayacu..</v>
      </c>
      <c r="I99" s="91" t="s">
        <v>69</v>
      </c>
      <c r="J99" s="22" t="s">
        <v>70</v>
      </c>
      <c r="K99" s="25" t="s">
        <v>71</v>
      </c>
      <c r="L99" s="21">
        <f>VLOOKUP(A99,[1]CPS!A98:AG282,16,FALSE)</f>
        <v>5522</v>
      </c>
      <c r="M99" s="21">
        <f>VLOOKUP(A99,[1]CPS!A98:AG282,18,FALSE)</f>
        <v>15322</v>
      </c>
      <c r="N99" s="29">
        <f>VLOOKUP(A99,[1]CPS!A98:AG282,19,FALSE)</f>
        <v>44588</v>
      </c>
      <c r="O99" s="21" t="str">
        <f>VLOOKUP(A99,[1]CPS!A98:AU282,46,FALSE)</f>
        <v>ADMINISTRACION</v>
      </c>
      <c r="P99" s="30">
        <f>VLOOKUP(A99,[1]CPS!A98:AG282,13,FALSE)</f>
        <v>1412000</v>
      </c>
      <c r="Q99" s="92">
        <f>VLOOKUP(A99,[1]CPS!A98:AG282,12,FALSE)</f>
        <v>15532000</v>
      </c>
      <c r="S99" s="22" t="s">
        <v>72</v>
      </c>
      <c r="T99" s="22" t="s">
        <v>73</v>
      </c>
      <c r="U99" s="93">
        <f>VLOOKUP(A99,[1]CPS!A98:AG282,5,FALSE)</f>
        <v>6567775</v>
      </c>
      <c r="V99" s="34" t="s">
        <v>74</v>
      </c>
      <c r="W99" s="21" t="s">
        <v>75</v>
      </c>
      <c r="X99" s="35" t="s">
        <v>71</v>
      </c>
      <c r="Y99" s="21" t="str">
        <f t="shared" si="2"/>
        <v>ORLANDO HERNANDEZ CANAYO</v>
      </c>
      <c r="Z99" s="21" t="str">
        <f>VLOOKUP(A99,[1]CPS!A98:AU282,35,FALSE)</f>
        <v>6 NO CONSTITUYÓ GARANTÍAS</v>
      </c>
      <c r="AA99" s="25" t="str">
        <f>VLOOKUP(A99,[1]CPS!A98:AU282,37,FALSE)</f>
        <v>N/A</v>
      </c>
      <c r="AB99" s="55" t="s">
        <v>71</v>
      </c>
      <c r="AC99" s="56" t="str">
        <f>VLOOKUP(A99,[1]CPS!A98:AU282,38,FALSE)</f>
        <v>N/A</v>
      </c>
      <c r="AD99" s="55" t="str">
        <f>VLOOKUP(A99,[1]CPS!A98:AU282,39,FALSE)</f>
        <v>N/A</v>
      </c>
      <c r="AE99" s="21" t="str">
        <f>VLOOKUP(A99,[1]CPS!A98:AU282,36,FALSE)</f>
        <v>PNN Amacayacu</v>
      </c>
      <c r="AF99" s="22" t="s">
        <v>77</v>
      </c>
      <c r="AG99" s="22" t="s">
        <v>73</v>
      </c>
      <c r="AH99" s="38">
        <f>VLOOKUP(A99,[1]CPS!A98:AU282,41,FALSE)</f>
        <v>51935320</v>
      </c>
      <c r="AI99" s="21" t="str">
        <f>VLOOKUP(A99,[1]CPS!A98:AU282,29,FALSE)</f>
        <v>ELIANA MARTINEZ RUEDA</v>
      </c>
      <c r="AJ99" s="35">
        <f>VLOOKUP(A99,[1]CPS!A98:AH282,34,FALSE)</f>
        <v>330</v>
      </c>
      <c r="AL99" s="94" t="str">
        <f>VLOOKUP(A99,[1]CPS!A98:AU282,40,FALSE)</f>
        <v>N/A</v>
      </c>
      <c r="AM99" s="95">
        <f>VLOOKUP(A99,[1]CPS!A98:AU282,44,FALSE)</f>
        <v>44589</v>
      </c>
      <c r="AN99" s="22" t="s">
        <v>78</v>
      </c>
      <c r="AO99" s="22">
        <v>0</v>
      </c>
      <c r="AP99" s="42">
        <v>0</v>
      </c>
      <c r="AQ99" s="43"/>
      <c r="AR99" s="44">
        <v>0</v>
      </c>
      <c r="AT99" s="96">
        <f>VLOOKUP(A99,[1]CPS!A98:AU282,25,FALSE)</f>
        <v>44589</v>
      </c>
      <c r="AU99" s="96">
        <f>VLOOKUP(A99,[1]CPS!A98:AU282,26,FALSE)</f>
        <v>44922</v>
      </c>
      <c r="AV99" s="97"/>
      <c r="AW99" s="22" t="s">
        <v>79</v>
      </c>
      <c r="AZ99" s="22" t="s">
        <v>79</v>
      </c>
      <c r="BA99" s="22">
        <v>0</v>
      </c>
      <c r="BE99" s="98"/>
      <c r="BF99" s="99">
        <f t="shared" si="3"/>
        <v>15532000</v>
      </c>
      <c r="BG99" s="100" t="str">
        <f>VLOOKUP(A99,[1]CPS!A98:AU282,2,FALSE)</f>
        <v>CAROL ANGELICA CERCADO</v>
      </c>
      <c r="BH99" s="21" t="str">
        <f>VLOOKUP(A99,[1]CPS!A98:AU282,42,FALSE)</f>
        <v>https://www.secop.gov.co/CO1ContractsManagement/Tendering/ProcurementContractEdit/View?docUniqueIdentifier=CO1.PCCNTR.3480923</v>
      </c>
      <c r="BI99" s="22" t="s">
        <v>80</v>
      </c>
      <c r="BK99" s="51" t="str">
        <f>VLOOKUP(A99,[1]CPS!A98:AU282,33,FALSE)</f>
        <v>https://community.secop.gov.co/Public/Tendering/ContractNoticePhases/View?PPI=CO1.PPI.17260895&amp;isFromPublicArea=True&amp;isModal=False</v>
      </c>
      <c r="BO99" s="53" t="s">
        <v>81</v>
      </c>
    </row>
    <row r="100" spans="1:67" ht="15" customHeight="1">
      <c r="A100" s="21">
        <v>99</v>
      </c>
      <c r="B100" s="22" t="s">
        <v>180</v>
      </c>
      <c r="C100" s="23" t="s">
        <v>68</v>
      </c>
      <c r="D100" s="24" t="str">
        <f>VLOOKUP(A100,[1]CPS!A99:AG283,3,FALSE)</f>
        <v>CD-DTAM NACION-CPS No. 099 - 2022</v>
      </c>
      <c r="E100" s="25">
        <v>99</v>
      </c>
      <c r="F100" s="21" t="str">
        <f>VLOOKUP(A100,[1]CPS!A99:AG283,4,FALSE)</f>
        <v>ORLANDO MIRAÑA BORA</v>
      </c>
      <c r="G100" s="90">
        <f>VLOOKUP(A100,[1]CPS!A99:AU283,43,FALSE)</f>
        <v>44588</v>
      </c>
      <c r="H100" s="21" t="str">
        <f>VLOOKUP(A100,[1]CPS!A99:AG283,9,FALSE)</f>
        <v>Prestación de servicios asistenciales y de apoyo a la gestión para adelantar actividades de monitoreo, vigilancia y control en los diferentes sectores del área protegida.</v>
      </c>
      <c r="I100" s="91" t="s">
        <v>69</v>
      </c>
      <c r="J100" s="22" t="s">
        <v>70</v>
      </c>
      <c r="K100" s="25" t="s">
        <v>71</v>
      </c>
      <c r="L100" s="21">
        <f>VLOOKUP(A100,[1]CPS!A99:AG283,16,FALSE)</f>
        <v>15522</v>
      </c>
      <c r="M100" s="21">
        <f>VLOOKUP(A100,[1]CPS!A99:AG283,18,FALSE)</f>
        <v>13222</v>
      </c>
      <c r="N100" s="29">
        <f>VLOOKUP(A100,[1]CPS!A99:AG283,19,FALSE)</f>
        <v>44588</v>
      </c>
      <c r="O100" s="21" t="str">
        <f>VLOOKUP(A100,[1]CPS!A99:AU283,46,FALSE)</f>
        <v>ADMINISTRACION</v>
      </c>
      <c r="P100" s="30">
        <f>VLOOKUP(A100,[1]CPS!A99:AG283,13,FALSE)</f>
        <v>1412000</v>
      </c>
      <c r="Q100" s="92">
        <f>VLOOKUP(A100,[1]CPS!A99:AG283,12,FALSE)</f>
        <v>15532000</v>
      </c>
      <c r="S100" s="22" t="s">
        <v>72</v>
      </c>
      <c r="T100" s="22" t="s">
        <v>73</v>
      </c>
      <c r="U100" s="93">
        <f>VLOOKUP(A100,[1]CPS!A99:AG283,5,FALSE)</f>
        <v>1131524123</v>
      </c>
      <c r="V100" s="34" t="s">
        <v>74</v>
      </c>
      <c r="W100" s="21" t="s">
        <v>75</v>
      </c>
      <c r="X100" s="35" t="s">
        <v>71</v>
      </c>
      <c r="Y100" s="21" t="str">
        <f t="shared" si="2"/>
        <v>ORLANDO MIRAÑA BORA</v>
      </c>
      <c r="Z100" s="21" t="str">
        <f>VLOOKUP(A100,[1]CPS!A99:AU283,35,FALSE)</f>
        <v>6 NO CONSTITUYÓ GARANTÍAS</v>
      </c>
      <c r="AA100" s="25" t="str">
        <f>VLOOKUP(A100,[1]CPS!A99:AU283,37,FALSE)</f>
        <v>N/A</v>
      </c>
      <c r="AB100" s="55" t="s">
        <v>71</v>
      </c>
      <c r="AC100" s="56" t="str">
        <f>VLOOKUP(A100,[1]CPS!A99:AU283,38,FALSE)</f>
        <v>N/A</v>
      </c>
      <c r="AD100" s="55" t="str">
        <f>VLOOKUP(A100,[1]CPS!A99:AU283,39,FALSE)</f>
        <v>N/A</v>
      </c>
      <c r="AE100" s="21" t="str">
        <f>VLOOKUP(A100,[1]CPS!A99:AU283,36,FALSE)</f>
        <v>PNN Cahuinari</v>
      </c>
      <c r="AF100" s="22" t="s">
        <v>77</v>
      </c>
      <c r="AG100" s="22" t="s">
        <v>73</v>
      </c>
      <c r="AH100" s="38">
        <f>VLOOKUP(A100,[1]CPS!A99:AU283,41,FALSE)</f>
        <v>10289238</v>
      </c>
      <c r="AI100" s="21" t="str">
        <f>VLOOKUP(A100,[1]CPS!A99:AU283,29,FALSE)</f>
        <v>IVAN DARIO QUICENO GALLEGO</v>
      </c>
      <c r="AJ100" s="35">
        <f>VLOOKUP(A100,[1]CPS!A99:AH283,34,FALSE)</f>
        <v>330</v>
      </c>
      <c r="AL100" s="94" t="str">
        <f>VLOOKUP(A100,[1]CPS!A99:AU283,40,FALSE)</f>
        <v>N/A</v>
      </c>
      <c r="AM100" s="95">
        <f>VLOOKUP(A100,[1]CPS!A99:AU283,44,FALSE)</f>
        <v>44588</v>
      </c>
      <c r="AN100" s="22" t="s">
        <v>78</v>
      </c>
      <c r="AO100" s="22">
        <v>0</v>
      </c>
      <c r="AP100" s="42">
        <v>0</v>
      </c>
      <c r="AQ100" s="43"/>
      <c r="AR100" s="44">
        <v>0</v>
      </c>
      <c r="AT100" s="96">
        <f>VLOOKUP(A100,[1]CPS!A99:AU283,25,FALSE)</f>
        <v>44588</v>
      </c>
      <c r="AU100" s="96">
        <f>VLOOKUP(A100,[1]CPS!A99:AU283,26,FALSE)</f>
        <v>44921</v>
      </c>
      <c r="AV100" s="97"/>
      <c r="AW100" s="22" t="s">
        <v>79</v>
      </c>
      <c r="AZ100" s="22" t="s">
        <v>79</v>
      </c>
      <c r="BA100" s="22">
        <v>0</v>
      </c>
      <c r="BE100" s="98"/>
      <c r="BF100" s="99">
        <f t="shared" si="3"/>
        <v>15532000</v>
      </c>
      <c r="BG100" s="100" t="str">
        <f>VLOOKUP(A100,[1]CPS!A99:AU283,2,FALSE)</f>
        <v>LAURA CAROLINA CORREA RAMIREZ</v>
      </c>
      <c r="BH100" s="21" t="str">
        <f>VLOOKUP(A100,[1]CPS!A99:AU283,42,FALSE)</f>
        <v>https://www.secop.gov.co/CO1ContractsManagement/Tendering/ProcurementContractEdit/View?docUniqueIdentifier=CO1.PCCNTR.3471598</v>
      </c>
      <c r="BI100" s="22" t="s">
        <v>80</v>
      </c>
      <c r="BK100" s="51" t="str">
        <f>VLOOKUP(A100,[1]CPS!A99:AU283,33,FALSE)</f>
        <v>https://www.secop.gov.co/CO1ContractsManagement/Tendering/ProcurementContractEdit/View?docUniqueIdentifier=CO1.PCCNTR.3480923&amp;awardUniqueIdentifier=&amp;buyerDossierUniqueIdentifier=CO1.BDOS.2754966&amp;id=1731789&amp;prevCtxUrl=https%3a%2f%2fwww.secop.gov.co%2fCO1BusinessLine%2fTendering%2fBuyerDossierWorkspace%2fIndex%3fsortingState%3dLastModifiedDESC%26showAdvancedSearch%3dFalse%26showAdvancedSearchFields%3dFalse%26selectedDossier%3dCO1.BDOS.2754966%26selectedRequest%3dCO1.REQ.2831855%26&amp;prevCtxLbl=Procesos+de+la+Entidad+Estatal</v>
      </c>
      <c r="BO100" s="53" t="s">
        <v>81</v>
      </c>
    </row>
    <row r="101" spans="1:67" ht="15" customHeight="1">
      <c r="A101" s="21">
        <v>100</v>
      </c>
      <c r="B101" s="22" t="s">
        <v>181</v>
      </c>
      <c r="C101" s="23" t="s">
        <v>68</v>
      </c>
      <c r="D101" s="24" t="str">
        <f>VLOOKUP(A101,[1]CPS!A100:AG284,3,FALSE)</f>
        <v>CD-DTAM NACION-CPS No. 100 - 2022</v>
      </c>
      <c r="E101" s="25">
        <v>100</v>
      </c>
      <c r="F101" s="21" t="str">
        <f>VLOOKUP(A101,[1]CPS!A100:AG284,4,FALSE)</f>
        <v>SANTIAGO ANDRES SANMIGUEL MURILLO</v>
      </c>
      <c r="G101" s="90">
        <f>VLOOKUP(A101,[1]CPS!A100:AU284,43,FALSE)</f>
        <v>44589</v>
      </c>
      <c r="H101" s="21" t="str">
        <f>VLOOKUP(A101,[1]CPS!A100:AG284,9,FALSE)</f>
        <v>Prestar servicios operativos en la Dirección Territorial Amazonia de Parques Nacionales Naturales de Colombia, para garantizar las actividades en el área de almacén e inventarios, seguimiento a la facturación de servicios públicos, gestión para el pago de impuestos apoyado en los aplicativos dispuestos por la nación y la entidad.</v>
      </c>
      <c r="I101" s="91" t="s">
        <v>69</v>
      </c>
      <c r="J101" s="22" t="s">
        <v>70</v>
      </c>
      <c r="K101" s="25" t="s">
        <v>71</v>
      </c>
      <c r="L101" s="21">
        <f>VLOOKUP(A101,[1]CPS!A100:AG284,16,FALSE)</f>
        <v>13922</v>
      </c>
      <c r="M101" s="21">
        <f>VLOOKUP(A101,[1]CPS!A100:AG284,18,FALSE)</f>
        <v>16622</v>
      </c>
      <c r="N101" s="29">
        <f>VLOOKUP(A101,[1]CPS!A100:AG284,19,FALSE)</f>
        <v>44589</v>
      </c>
      <c r="O101" s="21" t="str">
        <f>VLOOKUP(A101,[1]CPS!A100:AU284,46,FALSE)</f>
        <v>FORTALECIMIENTO</v>
      </c>
      <c r="P101" s="30">
        <f>VLOOKUP(A101,[1]CPS!A100:AG284,13,FALSE)</f>
        <v>1412000</v>
      </c>
      <c r="Q101" s="92">
        <f>VLOOKUP(A101,[1]CPS!A100:AG284,12,FALSE)</f>
        <v>6354000</v>
      </c>
      <c r="S101" s="22" t="s">
        <v>72</v>
      </c>
      <c r="T101" s="22" t="s">
        <v>73</v>
      </c>
      <c r="U101" s="93">
        <f>VLOOKUP(A101,[1]CPS!A100:AG284,5,FALSE)</f>
        <v>1000252838</v>
      </c>
      <c r="V101" s="34" t="s">
        <v>74</v>
      </c>
      <c r="W101" s="21" t="s">
        <v>75</v>
      </c>
      <c r="X101" s="35" t="s">
        <v>71</v>
      </c>
      <c r="Y101" s="21" t="str">
        <f t="shared" si="2"/>
        <v>SANTIAGO ANDRES SANMIGUEL MURILLO</v>
      </c>
      <c r="Z101" s="21" t="str">
        <f>VLOOKUP(A101,[1]CPS!A100:AU284,35,FALSE)</f>
        <v>6 NO CONSTITUYÓ GARANTÍAS</v>
      </c>
      <c r="AA101" s="25" t="str">
        <f>VLOOKUP(A101,[1]CPS!A100:AU284,37,FALSE)</f>
        <v>N/A</v>
      </c>
      <c r="AB101" s="55" t="s">
        <v>71</v>
      </c>
      <c r="AC101" s="56" t="str">
        <f>VLOOKUP(A101,[1]CPS!A100:AU284,38,FALSE)</f>
        <v>N/A</v>
      </c>
      <c r="AD101" s="55" t="str">
        <f>VLOOKUP(A101,[1]CPS!A100:AU284,39,FALSE)</f>
        <v>N/A</v>
      </c>
      <c r="AE101" s="21" t="str">
        <f>VLOOKUP(A101,[1]CPS!A100:AU284,14,FALSE)</f>
        <v>DTAM</v>
      </c>
      <c r="AF101" s="22" t="s">
        <v>77</v>
      </c>
      <c r="AG101" s="22" t="s">
        <v>73</v>
      </c>
      <c r="AH101" s="38">
        <f>VLOOKUP(A101,[1]CPS!A100:AU284,41,FALSE)</f>
        <v>41674698</v>
      </c>
      <c r="AI101" s="21" t="str">
        <f>VLOOKUP(A101,[1]CPS!A100:AU284,29,FALSE)</f>
        <v>CLAUDIA OFELIA MANRIQUE ROA</v>
      </c>
      <c r="AJ101" s="35">
        <f>VLOOKUP(A101,[1]CPS!A100:AH284,34,FALSE)</f>
        <v>330</v>
      </c>
      <c r="AL101" s="94" t="str">
        <f>VLOOKUP(A101,[1]CPS!A100:AU284,40,FALSE)</f>
        <v>N/A</v>
      </c>
      <c r="AM101" s="95">
        <f>VLOOKUP(A101,[1]CPS!A100:AU284,44,FALSE)</f>
        <v>44596</v>
      </c>
      <c r="AN101" s="22" t="s">
        <v>78</v>
      </c>
      <c r="AO101" s="22">
        <v>0</v>
      </c>
      <c r="AP101" s="42">
        <v>0</v>
      </c>
      <c r="AQ101" s="43"/>
      <c r="AR101" s="44">
        <v>0</v>
      </c>
      <c r="AT101" s="96">
        <f>VLOOKUP(A101,[1]CPS!A100:AU284,25,FALSE)</f>
        <v>44588</v>
      </c>
      <c r="AU101" s="96">
        <f>VLOOKUP(A101,[1]CPS!A100:AU284,26,FALSE)</f>
        <v>44921</v>
      </c>
      <c r="AV101" s="97"/>
      <c r="AW101" s="22" t="s">
        <v>79</v>
      </c>
      <c r="AZ101" s="22" t="s">
        <v>79</v>
      </c>
      <c r="BA101" s="22">
        <v>0</v>
      </c>
      <c r="BE101" s="98"/>
      <c r="BF101" s="99">
        <f t="shared" si="3"/>
        <v>6354000</v>
      </c>
      <c r="BG101" s="100" t="str">
        <f>VLOOKUP(A101,[1]CPS!A100:AU284,2,FALSE)</f>
        <v>NORYLY AGUIRRE OTALORA</v>
      </c>
      <c r="BH101" s="21" t="str">
        <f>VLOOKUP(A101,[1]CPS!A100:AU284,42,FALSE)</f>
        <v>https://www.secop.gov.co/CO1ContractsManagement/Tendering/ProcurementContractEdit/View?docUniqueIdentifier=CO1.PCCNTR.3501609</v>
      </c>
      <c r="BI101" s="22" t="s">
        <v>80</v>
      </c>
      <c r="BK101" s="51" t="str">
        <f>VLOOKUP(A101,[1]CPS!A100:AU284,33,FALSE)</f>
        <v>https://community.secop.gov.co/Public/Tendering/OpportunityDetail/Index?noticeUID=CO1.NTC.2751946&amp;isFromPublicArea=True&amp;isModal=False</v>
      </c>
      <c r="BO101" s="53" t="s">
        <v>81</v>
      </c>
    </row>
    <row r="102" spans="1:67" ht="15" customHeight="1">
      <c r="A102" s="21">
        <v>101</v>
      </c>
      <c r="B102" s="22" t="s">
        <v>182</v>
      </c>
      <c r="C102" s="23" t="s">
        <v>68</v>
      </c>
      <c r="D102" s="24" t="str">
        <f>VLOOKUP(A102,[1]CPS!A101:AG285,3,FALSE)</f>
        <v>CD-DTAM NACION-CPS No. 101 - 2022</v>
      </c>
      <c r="E102" s="25">
        <v>101</v>
      </c>
      <c r="F102" s="21" t="str">
        <f>VLOOKUP(A102,[1]CPS!A101:AG285,4,FALSE)</f>
        <v>JOSE REYES RODRIGUEZ MONTERO</v>
      </c>
      <c r="G102" s="90">
        <f>VLOOKUP(A102,[1]CPS!A101:AU285,43,FALSE)</f>
        <v>44588</v>
      </c>
      <c r="H102" s="21" t="str">
        <f>VLOOKUP(A102,[1]CPS!A101:AG285,9,FALSE)</f>
        <v>Prestar servicios asistenciales y de apoyo a la gestión como conductor de vehículos y labores de mantenimiento, mensajería en la sede Leticia</v>
      </c>
      <c r="I102" s="91" t="s">
        <v>69</v>
      </c>
      <c r="J102" s="22" t="s">
        <v>70</v>
      </c>
      <c r="K102" s="25" t="s">
        <v>71</v>
      </c>
      <c r="L102" s="21">
        <f>VLOOKUP(A102,[1]CPS!A101:AG285,16,FALSE)</f>
        <v>10322</v>
      </c>
      <c r="M102" s="21">
        <f>VLOOKUP(A102,[1]CPS!A101:AG285,18,FALSE)</f>
        <v>15422</v>
      </c>
      <c r="N102" s="29">
        <f>VLOOKUP(A102,[1]CPS!A101:AG285,19,FALSE)</f>
        <v>44589</v>
      </c>
      <c r="O102" s="21" t="str">
        <f>VLOOKUP(A102,[1]CPS!A101:AU285,46,FALSE)</f>
        <v>ADMINISTRACION</v>
      </c>
      <c r="P102" s="30">
        <f>VLOOKUP(A102,[1]CPS!A101:AG285,13,FALSE)</f>
        <v>1412000</v>
      </c>
      <c r="Q102" s="92">
        <f>VLOOKUP(A102,[1]CPS!A101:AG285,12,FALSE)</f>
        <v>15532000</v>
      </c>
      <c r="S102" s="22" t="s">
        <v>72</v>
      </c>
      <c r="T102" s="22" t="s">
        <v>73</v>
      </c>
      <c r="U102" s="93">
        <f>VLOOKUP(A102,[1]CPS!A101:AG285,5,FALSE)</f>
        <v>11342130</v>
      </c>
      <c r="V102" s="34" t="s">
        <v>74</v>
      </c>
      <c r="W102" s="21" t="s">
        <v>75</v>
      </c>
      <c r="X102" s="35" t="s">
        <v>71</v>
      </c>
      <c r="Y102" s="21" t="str">
        <f t="shared" si="2"/>
        <v>JOSE REYES RODRIGUEZ MONTERO</v>
      </c>
      <c r="Z102" s="21" t="str">
        <f>VLOOKUP(A102,[1]CPS!A101:AU285,35,FALSE)</f>
        <v>6 NO CONSTITUYÓ GARANTÍAS</v>
      </c>
      <c r="AA102" s="25" t="str">
        <f>VLOOKUP(A102,[1]CPS!A101:AU285,37,FALSE)</f>
        <v>N/A</v>
      </c>
      <c r="AB102" s="55" t="s">
        <v>71</v>
      </c>
      <c r="AC102" s="56" t="str">
        <f>VLOOKUP(A102,[1]CPS!A101:AU285,38,FALSE)</f>
        <v>N/A</v>
      </c>
      <c r="AD102" s="55" t="str">
        <f>VLOOKUP(A102,[1]CPS!A101:AU285,39,FALSE)</f>
        <v>N/A</v>
      </c>
      <c r="AE102" s="21" t="str">
        <f>VLOOKUP(A102,[1]CPS!A101:AU285,36,FALSE)</f>
        <v>PNN Amacayacu</v>
      </c>
      <c r="AF102" s="22" t="s">
        <v>77</v>
      </c>
      <c r="AG102" s="22" t="s">
        <v>73</v>
      </c>
      <c r="AH102" s="38">
        <f>VLOOKUP(A102,[1]CPS!A101:AU285,41,FALSE)</f>
        <v>51935320</v>
      </c>
      <c r="AI102" s="21" t="str">
        <f>VLOOKUP(A102,[1]CPS!A101:AU285,29,FALSE)</f>
        <v>ELIANA MARTINEZ RUEDA</v>
      </c>
      <c r="AJ102" s="35">
        <f>VLOOKUP(A102,[1]CPS!A101:AH285,34,FALSE)</f>
        <v>135</v>
      </c>
      <c r="AL102" s="94" t="str">
        <f>VLOOKUP(A102,[1]CPS!A101:AU285,40,FALSE)</f>
        <v>N/A</v>
      </c>
      <c r="AM102" s="95">
        <f>VLOOKUP(A102,[1]CPS!A101:AU285,44,FALSE)</f>
        <v>44589</v>
      </c>
      <c r="AN102" s="22" t="s">
        <v>78</v>
      </c>
      <c r="AO102" s="22">
        <v>0</v>
      </c>
      <c r="AP102" s="42">
        <v>0</v>
      </c>
      <c r="AQ102" s="43"/>
      <c r="AR102" s="44">
        <v>0</v>
      </c>
      <c r="AT102" s="96">
        <f>VLOOKUP(A102,[1]CPS!A101:AU285,25,FALSE)</f>
        <v>44589</v>
      </c>
      <c r="AU102" s="96">
        <f>VLOOKUP(A102,[1]CPS!A101:AU285,26,FALSE)</f>
        <v>44724</v>
      </c>
      <c r="AV102" s="97"/>
      <c r="AW102" s="22" t="s">
        <v>79</v>
      </c>
      <c r="AZ102" s="22" t="s">
        <v>79</v>
      </c>
      <c r="BA102" s="22">
        <v>0</v>
      </c>
      <c r="BE102" s="98"/>
      <c r="BF102" s="99">
        <f t="shared" si="3"/>
        <v>15532000</v>
      </c>
      <c r="BG102" s="100" t="str">
        <f>VLOOKUP(A102,[1]CPS!A101:AU285,2,FALSE)</f>
        <v>CAROL ANGELICA CERCADO</v>
      </c>
      <c r="BH102" s="21" t="str">
        <f>VLOOKUP(A102,[1]CPS!A101:AU285,42,FALSE)</f>
        <v>https://www.secop.gov.co/CO1ContractsManagement/Tendering/ProcurementContractEdit/View?docUniqueIdentifier=CO1.PCCNTR.3489996</v>
      </c>
      <c r="BI102" s="22" t="s">
        <v>80</v>
      </c>
      <c r="BK102" s="51" t="str">
        <f>VLOOKUP(A102,[1]CPS!A101:AU285,33,FALSE)</f>
        <v>https://community.secop.gov.co/Public/Tendering/ContractNoticePhases/View?PPI=CO1.PPI.17241899&amp;isFromPublicArea=True&amp;isModal=False</v>
      </c>
      <c r="BO102" s="53" t="s">
        <v>81</v>
      </c>
    </row>
    <row r="103" spans="1:67" ht="15" customHeight="1">
      <c r="A103" s="21">
        <v>102</v>
      </c>
      <c r="B103" s="22" t="s">
        <v>183</v>
      </c>
      <c r="C103" s="23" t="s">
        <v>68</v>
      </c>
      <c r="D103" s="24" t="str">
        <f>VLOOKUP(A103,[1]CPS!A102:AG286,3,FALSE)</f>
        <v>CD-DTAM NACION-CPS No. 102 - 2022</v>
      </c>
      <c r="E103" s="25">
        <v>102</v>
      </c>
      <c r="F103" s="21" t="str">
        <f>VLOOKUP(A103,[1]CPS!A102:AG286,4,FALSE)</f>
        <v>ALBERTO LESMES ROJAS</v>
      </c>
      <c r="G103" s="90">
        <f>VLOOKUP(A103,[1]CPS!A102:AU286,43,FALSE)</f>
        <v>44589</v>
      </c>
      <c r="H103" s="21" t="str">
        <f>VLOOKUP(A103,[1]CPS!A102:AG286,9,FALSE)</f>
        <v>Prestación de servicios de apoyo a la promoción, divulgación y posicionamiento de los Parques Nacionales Naturales en el departamento del Amazonas</v>
      </c>
      <c r="I103" s="91" t="s">
        <v>69</v>
      </c>
      <c r="J103" s="22" t="s">
        <v>70</v>
      </c>
      <c r="K103" s="25" t="s">
        <v>71</v>
      </c>
      <c r="L103" s="21">
        <f>VLOOKUP(A103,[1]CPS!A102:AG286,16,FALSE)</f>
        <v>11822</v>
      </c>
      <c r="M103" s="21">
        <f>VLOOKUP(A103,[1]CPS!A102:AG286,18,FALSE)</f>
        <v>16022</v>
      </c>
      <c r="N103" s="29">
        <f>VLOOKUP(A103,[1]CPS!A102:AG286,19,FALSE)</f>
        <v>44589</v>
      </c>
      <c r="O103" s="21" t="str">
        <f>VLOOKUP(A103,[1]CPS!A102:AU286,46,FALSE)</f>
        <v>ADMINISTRACION</v>
      </c>
      <c r="P103" s="30">
        <f>VLOOKUP(A103,[1]CPS!A102:AG286,13,FALSE)</f>
        <v>1400000</v>
      </c>
      <c r="Q103" s="92">
        <f>VLOOKUP(A103,[1]CPS!A102:AG286,12,FALSE)</f>
        <v>15400000</v>
      </c>
      <c r="S103" s="22" t="s">
        <v>72</v>
      </c>
      <c r="T103" s="22" t="s">
        <v>73</v>
      </c>
      <c r="U103" s="93">
        <f>VLOOKUP(A103,[1]CPS!A102:AG286,5,FALSE)</f>
        <v>15885477</v>
      </c>
      <c r="V103" s="34" t="s">
        <v>74</v>
      </c>
      <c r="W103" s="21" t="s">
        <v>75</v>
      </c>
      <c r="X103" s="35" t="s">
        <v>71</v>
      </c>
      <c r="Y103" s="21" t="str">
        <f t="shared" si="2"/>
        <v>ALBERTO LESMES ROJAS</v>
      </c>
      <c r="Z103" s="21" t="str">
        <f>VLOOKUP(A103,[1]CPS!A102:AU286,35,FALSE)</f>
        <v>6 NO CONSTITUYÓ GARANTÍAS</v>
      </c>
      <c r="AA103" s="25" t="str">
        <f>VLOOKUP(A103,[1]CPS!A102:AU286,37,FALSE)</f>
        <v>N/A</v>
      </c>
      <c r="AB103" s="55" t="s">
        <v>71</v>
      </c>
      <c r="AC103" s="56" t="str">
        <f>VLOOKUP(A103,[1]CPS!A102:AU286,38,FALSE)</f>
        <v>N/A</v>
      </c>
      <c r="AD103" s="55" t="str">
        <f>VLOOKUP(A103,[1]CPS!A102:AU286,39,FALSE)</f>
        <v>N/A</v>
      </c>
      <c r="AE103" s="21" t="str">
        <f>VLOOKUP(A103,[1]CPS!A102:AU286,36,FALSE)</f>
        <v>PNN Amacayacu</v>
      </c>
      <c r="AF103" s="22" t="s">
        <v>77</v>
      </c>
      <c r="AG103" s="22" t="s">
        <v>73</v>
      </c>
      <c r="AH103" s="38">
        <f>VLOOKUP(A103,[1]CPS!A102:AU286,41,FALSE)</f>
        <v>51935320</v>
      </c>
      <c r="AI103" s="21" t="str">
        <f>VLOOKUP(A103,[1]CPS!A102:AU286,29,FALSE)</f>
        <v>ELIANA MARTINEZ RUEDA</v>
      </c>
      <c r="AJ103" s="35">
        <f>VLOOKUP(A103,[1]CPS!A102:AH286,34,FALSE)</f>
        <v>330</v>
      </c>
      <c r="AL103" s="94" t="str">
        <f>VLOOKUP(A103,[1]CPS!A102:AU286,40,FALSE)</f>
        <v>N/A</v>
      </c>
      <c r="AM103" s="95">
        <f>VLOOKUP(A103,[1]CPS!A102:AU286,44,FALSE)</f>
        <v>44594</v>
      </c>
      <c r="AN103" s="22" t="s">
        <v>78</v>
      </c>
      <c r="AO103" s="22">
        <v>0</v>
      </c>
      <c r="AP103" s="42">
        <v>0</v>
      </c>
      <c r="AQ103" s="43"/>
      <c r="AR103" s="44">
        <v>0</v>
      </c>
      <c r="AT103" s="96">
        <f>VLOOKUP(A103,[1]CPS!A102:AU286,25,FALSE)</f>
        <v>44589</v>
      </c>
      <c r="AU103" s="96">
        <f>VLOOKUP(A103,[1]CPS!A102:AU286,26,FALSE)</f>
        <v>44922</v>
      </c>
      <c r="AV103" s="97"/>
      <c r="AW103" s="22" t="s">
        <v>79</v>
      </c>
      <c r="AZ103" s="22" t="s">
        <v>79</v>
      </c>
      <c r="BA103" s="22">
        <v>0</v>
      </c>
      <c r="BE103" s="98"/>
      <c r="BF103" s="99">
        <f t="shared" si="3"/>
        <v>15400000</v>
      </c>
      <c r="BG103" s="100" t="str">
        <f>VLOOKUP(A103,[1]CPS!A102:AU286,2,FALSE)</f>
        <v>NORYLY AGUIRRE OTALORA</v>
      </c>
      <c r="BH103" s="21" t="str">
        <f>VLOOKUP(A103,[1]CPS!A102:AU286,42,FALSE)</f>
        <v>https://www.secop.gov.co/CO1ContractsManagement/Tendering/ProcurementContractEdit/View?docUniqueIdentifier=CO1.PCCNTR.3504069</v>
      </c>
      <c r="BI103" s="22" t="s">
        <v>80</v>
      </c>
      <c r="BK103" s="51" t="str">
        <f>VLOOKUP(A103,[1]CPS!A102:AU286,33,FALSE)</f>
        <v>https://www.secop.gov.co/CO1ContractsManagement/Tendering/ProcurementContractEdit/View?docUniqueIdentifier=CO1.PCCNTR.3489996&amp;awardUniqueIdentifier=&amp;buyerDossierUniqueIdentifier=CO1.BDOS.2758285&amp;id=1740153&amp;prevCtxUrl=https%3a%2f%2fwww.secop.gov.co%2fCO1BusinessLine%2fTendering%2fBuyerDossierWorkspace%2fIndex%3fsortingState%3dLastModifiedDESC%26showAdvancedSearch%3dFalse%26showAdvancedSearchFields%3dFalse%26selectedDossier%3dCO1.BDOS.2758285%26selectedRequest%3dCO1.REQ.2838303%26&amp;prevCtxLbl=Procesos+de+la+Entidad+Estatal</v>
      </c>
      <c r="BO103" s="53" t="s">
        <v>81</v>
      </c>
    </row>
    <row r="104" spans="1:67" ht="15" customHeight="1">
      <c r="A104" s="21">
        <v>103</v>
      </c>
      <c r="B104" s="22" t="s">
        <v>184</v>
      </c>
      <c r="C104" s="23" t="s">
        <v>68</v>
      </c>
      <c r="D104" s="24" t="str">
        <f>VLOOKUP(A104,[1]CPS!A103:AG287,3,FALSE)</f>
        <v>CD-DTAM NACION-CPS No. 103 - 2022</v>
      </c>
      <c r="E104" s="25">
        <v>103</v>
      </c>
      <c r="F104" s="21" t="str">
        <f>VLOOKUP(A104,[1]CPS!A103:AG287,4,FALSE)</f>
        <v>EDGAR IVAN TANIMUCA MATAPI</v>
      </c>
      <c r="G104" s="90">
        <f>VLOOKUP(A104,[1]CPS!A103:AU287,43,FALSE)</f>
        <v>44589</v>
      </c>
      <c r="H104" s="21" t="str">
        <f>VLOOKUP(A104,[1]CPS!A103:AG287,9,FALSE)</f>
        <v>Prestar apoyo operativo en la gestión del PNN Yaigojé y su zona de influencia sector sur en las acciones de protección, control Territorial, relacionamiento y actividades encaminadas a la estrategia de PVC</v>
      </c>
      <c r="I104" s="91" t="s">
        <v>69</v>
      </c>
      <c r="J104" s="22" t="s">
        <v>70</v>
      </c>
      <c r="K104" s="25" t="s">
        <v>71</v>
      </c>
      <c r="L104" s="21">
        <f>VLOOKUP(A104,[1]CPS!A103:AG287,16,FALSE)</f>
        <v>11322</v>
      </c>
      <c r="M104" s="21">
        <f>VLOOKUP(A104,[1]CPS!A103:AG287,18,FALSE)</f>
        <v>16122</v>
      </c>
      <c r="N104" s="29">
        <f>VLOOKUP(A104,[1]CPS!A103:AG287,19,FALSE)</f>
        <v>44589</v>
      </c>
      <c r="O104" s="21" t="str">
        <f>VLOOKUP(A104,[1]CPS!A103:AU287,46,FALSE)</f>
        <v>ADMINISTRACION</v>
      </c>
      <c r="P104" s="30">
        <f>VLOOKUP(A104,[1]CPS!A103:AG287,13,FALSE)</f>
        <v>1412000</v>
      </c>
      <c r="Q104" s="92">
        <f>VLOOKUP(A104,[1]CPS!A103:AG287,12,FALSE)</f>
        <v>15532000</v>
      </c>
      <c r="S104" s="22" t="s">
        <v>72</v>
      </c>
      <c r="T104" s="22" t="s">
        <v>73</v>
      </c>
      <c r="U104" s="93">
        <f>VLOOKUP(A104,[1]CPS!A103:AG287,5,FALSE)</f>
        <v>15876031</v>
      </c>
      <c r="V104" s="34" t="s">
        <v>74</v>
      </c>
      <c r="W104" s="21" t="s">
        <v>75</v>
      </c>
      <c r="X104" s="35" t="s">
        <v>71</v>
      </c>
      <c r="Y104" s="21" t="str">
        <f t="shared" si="2"/>
        <v>EDGAR IVAN TANIMUCA MATAPI</v>
      </c>
      <c r="Z104" s="21" t="str">
        <f>VLOOKUP(A104,[1]CPS!A103:AU287,35,FALSE)</f>
        <v>6 NO CONSTITUYÓ GARANTÍAS</v>
      </c>
      <c r="AA104" s="25" t="str">
        <f>VLOOKUP(A104,[1]CPS!A103:AU287,37,FALSE)</f>
        <v>N/A</v>
      </c>
      <c r="AB104" s="55" t="s">
        <v>71</v>
      </c>
      <c r="AC104" s="56" t="str">
        <f>VLOOKUP(A104,[1]CPS!A103:AU287,38,FALSE)</f>
        <v>N/A</v>
      </c>
      <c r="AD104" s="55" t="str">
        <f>VLOOKUP(A104,[1]CPS!A103:AU287,39,FALSE)</f>
        <v>N/A</v>
      </c>
      <c r="AE104" s="21" t="str">
        <f>VLOOKUP(A104,[1]CPS!A103:AU287,14,FALSE)</f>
        <v>PNN YAIGOJE APAPORIS</v>
      </c>
      <c r="AF104" s="22" t="s">
        <v>77</v>
      </c>
      <c r="AG104" s="22" t="s">
        <v>73</v>
      </c>
      <c r="AH104" s="38">
        <f>VLOOKUP(A104,[1]CPS!A103:AU287,41,FALSE)</f>
        <v>79672176</v>
      </c>
      <c r="AI104" s="21" t="str">
        <f>VLOOKUP(A104,[1]CPS!A103:AU287,29,FALSE)</f>
        <v>ALEXANDER ALFONSO SEGURA</v>
      </c>
      <c r="AJ104" s="35">
        <f>VLOOKUP(A104,[1]CPS!A103:AH287,34,FALSE)</f>
        <v>330</v>
      </c>
      <c r="AL104" s="94" t="str">
        <f>VLOOKUP(A104,[1]CPS!A103:AU287,40,FALSE)</f>
        <v>N/A</v>
      </c>
      <c r="AM104" s="95">
        <f>VLOOKUP(A104,[1]CPS!A103:AU287,44,FALSE)</f>
        <v>44594</v>
      </c>
      <c r="AN104" s="22" t="s">
        <v>78</v>
      </c>
      <c r="AO104" s="22">
        <v>0</v>
      </c>
      <c r="AP104" s="42">
        <v>0</v>
      </c>
      <c r="AQ104" s="43"/>
      <c r="AR104" s="44">
        <v>0</v>
      </c>
      <c r="AT104" s="96">
        <f>VLOOKUP(A104,[1]CPS!A103:AU287,25,FALSE)</f>
        <v>44589</v>
      </c>
      <c r="AU104" s="96">
        <f>VLOOKUP(A104,[1]CPS!A103:AU287,26,FALSE)</f>
        <v>44922</v>
      </c>
      <c r="AV104" s="97"/>
      <c r="AW104" s="22" t="s">
        <v>79</v>
      </c>
      <c r="AZ104" s="22" t="s">
        <v>79</v>
      </c>
      <c r="BA104" s="22">
        <v>0</v>
      </c>
      <c r="BE104" s="98"/>
      <c r="BF104" s="99">
        <f t="shared" si="3"/>
        <v>15532000</v>
      </c>
      <c r="BG104" s="100" t="str">
        <f>VLOOKUP(A104,[1]CPS!A103:AU287,2,FALSE)</f>
        <v>NORYLY AGUIRRE OTALORA</v>
      </c>
      <c r="BH104" s="21" t="str">
        <f>VLOOKUP(A104,[1]CPS!A103:AU287,42,FALSE)</f>
        <v>https://www.secop.gov.co/CO1ContractsManagement/Tendering/ProcurementContractEdit/View?docUniqueIdentifier=CO1.PCCNTR.3507309</v>
      </c>
      <c r="BI104" s="22" t="s">
        <v>80</v>
      </c>
      <c r="BK104" s="51" t="str">
        <f>VLOOKUP(A104,[1]CPS!A103:AU287,33,FALSE)</f>
        <v>https://community.secop.gov.co/Public/Tendering/ContractNoticePhases/View?PPI=CO1.PPI.17306548&amp;isFromPublicArea=True&amp;isModal=False</v>
      </c>
      <c r="BO104" s="53" t="s">
        <v>81</v>
      </c>
    </row>
    <row r="105" spans="1:67" ht="15" customHeight="1">
      <c r="A105" s="21">
        <v>104</v>
      </c>
      <c r="B105" s="22" t="s">
        <v>185</v>
      </c>
      <c r="C105" s="23" t="s">
        <v>68</v>
      </c>
      <c r="D105" s="24" t="str">
        <f>VLOOKUP(A105,[1]CPS!A104:AG288,3,FALSE)</f>
        <v>CD-DTAM NACION-CPS No. 104 - 2022</v>
      </c>
      <c r="E105" s="25">
        <v>104</v>
      </c>
      <c r="F105" s="21" t="str">
        <f>VLOOKUP(A105,[1]CPS!A104:AG288,4,FALSE)</f>
        <v>FABIANA KARINA RINCON DURAN</v>
      </c>
      <c r="G105" s="90">
        <f>VLOOKUP(A105,[1]CPS!A104:AU288,43,FALSE)</f>
        <v>44588</v>
      </c>
      <c r="H105" s="21" t="str">
        <f>VLOOKUP(A105,[1]CPS!A104:AG288,9,FALSE)</f>
        <v>Prestar servicios profesionales para apoyar la gestión de la línea de cambio climático de acuerdo a los lineamientos de Parques Nacionales Naturales de Colombia y seguimiento a los procesos de cooperación teniendo en cuenta los aliados estratégicos y sus iniciativas que permitan apalancar la gestión de la Dirección Territorial Amazonia y sus AP</v>
      </c>
      <c r="I105" s="91" t="s">
        <v>69</v>
      </c>
      <c r="J105" s="22" t="s">
        <v>70</v>
      </c>
      <c r="K105" s="25" t="s">
        <v>71</v>
      </c>
      <c r="L105" s="21">
        <f>VLOOKUP(A105,[1]CPS!A104:AG288,16,FALSE)</f>
        <v>15622</v>
      </c>
      <c r="M105" s="21">
        <f>VLOOKUP(A105,[1]CPS!A104:AG288,18,FALSE)</f>
        <v>15622</v>
      </c>
      <c r="N105" s="29">
        <f>VLOOKUP(A105,[1]CPS!A104:AG288,19,FALSE)</f>
        <v>44589</v>
      </c>
      <c r="O105" s="21" t="str">
        <f>VLOOKUP(A105,[1]CPS!A104:AU288,46,FALSE)</f>
        <v>ADMINISTRACION</v>
      </c>
      <c r="P105" s="30">
        <f>VLOOKUP(A105,[1]CPS!A104:AG288,13,FALSE)</f>
        <v>5700000</v>
      </c>
      <c r="Q105" s="92">
        <f>VLOOKUP(A105,[1]CPS!A104:AG288,12,FALSE)</f>
        <v>62510000</v>
      </c>
      <c r="S105" s="22" t="s">
        <v>72</v>
      </c>
      <c r="T105" s="22" t="s">
        <v>73</v>
      </c>
      <c r="U105" s="93">
        <f>VLOOKUP(A105,[1]CPS!A104:AG288,5,FALSE)</f>
        <v>1024495405</v>
      </c>
      <c r="V105" s="34" t="s">
        <v>74</v>
      </c>
      <c r="W105" s="21" t="s">
        <v>75</v>
      </c>
      <c r="X105" s="35" t="s">
        <v>71</v>
      </c>
      <c r="Y105" s="21" t="str">
        <f t="shared" si="2"/>
        <v>FABIANA KARINA RINCON DURAN</v>
      </c>
      <c r="Z105" s="21" t="str">
        <f>VLOOKUP(A105,[1]CPS!A104:AU288,35,FALSE)</f>
        <v>6 NO CONSTITUYÓ GARANTÍAS</v>
      </c>
      <c r="AA105" s="25" t="str">
        <f>VLOOKUP(A105,[1]CPS!A104:AU288,37,FALSE)</f>
        <v>N/A</v>
      </c>
      <c r="AB105" s="55" t="s">
        <v>71</v>
      </c>
      <c r="AC105" s="56" t="str">
        <f>VLOOKUP(A105,[1]CPS!A104:AU288,38,FALSE)</f>
        <v>N/A</v>
      </c>
      <c r="AD105" s="55" t="str">
        <f>VLOOKUP(A105,[1]CPS!A104:AU288,39,FALSE)</f>
        <v>N/A</v>
      </c>
      <c r="AE105" s="21" t="str">
        <f>VLOOKUP(A105,[1]CPS!A104:AU288,36,FALSE)</f>
        <v>Dirección Territorial Amazonía</v>
      </c>
      <c r="AF105" s="22" t="s">
        <v>77</v>
      </c>
      <c r="AG105" s="22" t="s">
        <v>73</v>
      </c>
      <c r="AH105" s="38">
        <f>VLOOKUP(A105,[1]CPS!A104:AU288,41,FALSE)</f>
        <v>91297841</v>
      </c>
      <c r="AI105" s="21" t="str">
        <f>VLOOKUP(A105,[1]CPS!A104:AU288,29,FALSE)</f>
        <v>NANCY ESPERANZA RIVERA VEGA</v>
      </c>
      <c r="AJ105" s="35">
        <f>VLOOKUP(A105,[1]CPS!A104:AH288,34,FALSE)</f>
        <v>330</v>
      </c>
      <c r="AL105" s="94" t="str">
        <f>VLOOKUP(A105,[1]CPS!A104:AU288,40,FALSE)</f>
        <v>N/A</v>
      </c>
      <c r="AM105" s="95">
        <f>VLOOKUP(A105,[1]CPS!A104:AU288,44,FALSE)</f>
        <v>44589</v>
      </c>
      <c r="AN105" s="22" t="s">
        <v>78</v>
      </c>
      <c r="AO105" s="22">
        <v>0</v>
      </c>
      <c r="AP105" s="42">
        <v>0</v>
      </c>
      <c r="AQ105" s="43"/>
      <c r="AR105" s="44">
        <v>0</v>
      </c>
      <c r="AT105" s="96">
        <f>VLOOKUP(A105,[1]CPS!A104:AU288,25,FALSE)</f>
        <v>44589</v>
      </c>
      <c r="AU105" s="96">
        <f>VLOOKUP(A105,[1]CPS!A104:AU288,26,FALSE)</f>
        <v>44922</v>
      </c>
      <c r="AV105" s="97"/>
      <c r="AW105" s="22" t="s">
        <v>79</v>
      </c>
      <c r="AZ105" s="22" t="s">
        <v>79</v>
      </c>
      <c r="BA105" s="22">
        <v>0</v>
      </c>
      <c r="BE105" s="98"/>
      <c r="BF105" s="99">
        <f t="shared" si="3"/>
        <v>62510000</v>
      </c>
      <c r="BG105" s="100" t="str">
        <f>VLOOKUP(A105,[1]CPS!A104:AU288,2,FALSE)</f>
        <v>LAURA CAROLINA CORREA RAMIREZ</v>
      </c>
      <c r="BH105" s="21" t="str">
        <f>VLOOKUP(A105,[1]CPS!A104:AU288,42,FALSE)</f>
        <v>https://www.secop.gov.co/CO1ContractsManagement/Tendering/ProcurementContractEdit/View?docUniqueIdentifier=CO1.PCCNTR.3486361</v>
      </c>
      <c r="BI105" s="22" t="s">
        <v>80</v>
      </c>
      <c r="BK105" s="51" t="str">
        <f>VLOOKUP(A105,[1]CPS!A104:AU288,33,FALSE)</f>
        <v>https://community.secop.gov.co/Public/Tendering/ContractNoticePhases/View?PPI=CO1.PPI.17312026&amp;isFromPublicArea=True&amp;isModal=False</v>
      </c>
      <c r="BO105" s="53" t="s">
        <v>81</v>
      </c>
    </row>
    <row r="106" spans="1:67" ht="15" customHeight="1">
      <c r="A106" s="21">
        <v>105</v>
      </c>
      <c r="B106" s="22" t="s">
        <v>186</v>
      </c>
      <c r="C106" s="23" t="s">
        <v>68</v>
      </c>
      <c r="D106" s="24" t="str">
        <f>VLOOKUP(A106,[1]CPS!A105:AG289,3,FALSE)</f>
        <v>CD-DTAM NACION-CPS No. 105 - 2022</v>
      </c>
      <c r="E106" s="25">
        <v>105</v>
      </c>
      <c r="F106" s="21" t="str">
        <f>VLOOKUP(A106,[1]CPS!A105:AG289,4,FALSE)</f>
        <v>YINA MARCELA GUTIERREZ MONJE</v>
      </c>
      <c r="G106" s="90">
        <f>VLOOKUP(A106,[1]CPS!A105:AU289,43,FALSE)</f>
        <v>44589</v>
      </c>
      <c r="H106" s="21" t="str">
        <f>VLOOKUP(A106,[1]CPS!A105:AG289,9,FALSE)</f>
        <v>Prestar apoyo operario a la gestión para adelantar actividades que permitan mantener adecuadamente el flujo de las labores operativas del Parque Nacional Natural Serranía de los Churumbelos Auka Wasi</v>
      </c>
      <c r="I106" s="91" t="s">
        <v>69</v>
      </c>
      <c r="J106" s="22" t="s">
        <v>70</v>
      </c>
      <c r="K106" s="25" t="s">
        <v>71</v>
      </c>
      <c r="L106" s="21">
        <f>VLOOKUP(A106,[1]CPS!A105:AG289,16,FALSE)</f>
        <v>9722</v>
      </c>
      <c r="M106" s="21">
        <f>VLOOKUP(A106,[1]CPS!A105:AG289,18,FALSE)</f>
        <v>15822</v>
      </c>
      <c r="N106" s="29">
        <f>VLOOKUP(A106,[1]CPS!A105:AG289,19,FALSE)</f>
        <v>44589</v>
      </c>
      <c r="O106" s="21" t="str">
        <f>VLOOKUP(A106,[1]CPS!A105:AU289,46,FALSE)</f>
        <v>ADMINISTRACION</v>
      </c>
      <c r="P106" s="30">
        <f>VLOOKUP(A106,[1]CPS!A105:AG289,13,FALSE)</f>
        <v>1412000</v>
      </c>
      <c r="Q106" s="92">
        <f>VLOOKUP(A106,[1]CPS!A105:AG289,12,FALSE)</f>
        <v>15532000</v>
      </c>
      <c r="S106" s="22" t="s">
        <v>72</v>
      </c>
      <c r="T106" s="22" t="s">
        <v>73</v>
      </c>
      <c r="U106" s="93">
        <f>VLOOKUP(A106,[1]CPS!A105:AG289,5,FALSE)</f>
        <v>1004268452</v>
      </c>
      <c r="V106" s="34" t="s">
        <v>74</v>
      </c>
      <c r="W106" s="21" t="s">
        <v>75</v>
      </c>
      <c r="X106" s="35" t="s">
        <v>71</v>
      </c>
      <c r="Y106" s="21" t="str">
        <f t="shared" si="2"/>
        <v>YINA MARCELA GUTIERREZ MONJE</v>
      </c>
      <c r="Z106" s="21" t="str">
        <f>VLOOKUP(A106,[1]CPS!A105:AU289,35,FALSE)</f>
        <v>6 NO CONSTITUYÓ GARANTÍAS</v>
      </c>
      <c r="AA106" s="35" t="str">
        <f>VLOOKUP(A106,[1]CPS!A105:AU289,37,FALSE)</f>
        <v>N/A</v>
      </c>
      <c r="AB106" s="55" t="s">
        <v>71</v>
      </c>
      <c r="AC106" s="56" t="str">
        <f>VLOOKUP(A106,[1]CPS!A105:AU289,38,FALSE)</f>
        <v>N/A</v>
      </c>
      <c r="AD106" s="55" t="str">
        <f>VLOOKUP(A106,[1]CPS!A105:AU289,39,FALSE)</f>
        <v>N/A</v>
      </c>
      <c r="AE106" s="21" t="str">
        <f>VLOOKUP(A106,[1]CPS!A105:AU289,36,FALSE)</f>
        <v>PNN Serranía de Los Churumbelos</v>
      </c>
      <c r="AF106" s="22" t="s">
        <v>77</v>
      </c>
      <c r="AG106" s="22" t="s">
        <v>73</v>
      </c>
      <c r="AH106" s="38">
        <f>VLOOKUP(A106,[1]CPS!A105:AU289,41,FALSE)</f>
        <v>19481189</v>
      </c>
      <c r="AI106" s="21" t="str">
        <f>VLOOKUP(A106,[1]CPS!A105:AU289,29,FALSE)</f>
        <v>FLABIO ARMANDO HERRERA CAICEDO</v>
      </c>
      <c r="AJ106" s="35">
        <f>VLOOKUP(A106,[1]CPS!A105:AH289,34,FALSE)</f>
        <v>329</v>
      </c>
      <c r="AL106" s="94" t="str">
        <f>VLOOKUP(A106,[1]CPS!A105:AU289,40,FALSE)</f>
        <v>N/A</v>
      </c>
      <c r="AM106" s="95">
        <f>VLOOKUP(A106,[1]CPS!A105:AU289,44,FALSE)</f>
        <v>44596</v>
      </c>
      <c r="AN106" s="22" t="s">
        <v>78</v>
      </c>
      <c r="AO106" s="22">
        <v>0</v>
      </c>
      <c r="AP106" s="42">
        <v>0</v>
      </c>
      <c r="AQ106" s="43"/>
      <c r="AR106" s="44">
        <v>0</v>
      </c>
      <c r="AT106" s="96">
        <f>VLOOKUP(A106,[1]CPS!A105:AU289,25,FALSE)</f>
        <v>44589</v>
      </c>
      <c r="AU106" s="96">
        <f>VLOOKUP(A106,[1]CPS!A105:AU289,26,FALSE)</f>
        <v>44920</v>
      </c>
      <c r="AV106" s="97"/>
      <c r="AW106" s="22" t="s">
        <v>79</v>
      </c>
      <c r="AZ106" s="22" t="s">
        <v>79</v>
      </c>
      <c r="BA106" s="22">
        <v>0</v>
      </c>
      <c r="BE106" s="98"/>
      <c r="BF106" s="99">
        <f t="shared" si="3"/>
        <v>15532000</v>
      </c>
      <c r="BG106" s="100" t="str">
        <f>VLOOKUP(A106,[1]CPS!A105:AU289,2,FALSE)</f>
        <v>NORYLY AGUIRRE OTALORA</v>
      </c>
      <c r="BH106" s="21" t="str">
        <f>VLOOKUP(A106,[1]CPS!A105:AU289,42,FALSE)</f>
        <v>https://www.secop.gov.co/CO1ContractsManagement/Tendering/ProcurementContractEdit/View?docUniqueIdentifier=CO1.PCCNTR.3508552</v>
      </c>
      <c r="BI106" s="22" t="s">
        <v>80</v>
      </c>
      <c r="BK106" s="51" t="str">
        <f>VLOOKUP(A106,[1]CPS!A105:AU289,33,FALSE)</f>
        <v>https://community.secop.gov.co/Public/Tendering/OpportunityDetail/Index?noticeUID=CO1.NTC.2762492&amp;isFromPublicArea=True&amp;isModal=False</v>
      </c>
      <c r="BO106" s="53" t="s">
        <v>81</v>
      </c>
    </row>
    <row r="107" spans="1:67" ht="15" customHeight="1">
      <c r="A107" s="21">
        <v>106</v>
      </c>
      <c r="B107" s="22" t="s">
        <v>187</v>
      </c>
      <c r="C107" s="23" t="s">
        <v>68</v>
      </c>
      <c r="D107" s="24" t="str">
        <f>VLOOKUP(A107,[1]CPS!A106:AG290,3,FALSE)</f>
        <v>CD-DTAM NACION-CPS No. 106 - 2022</v>
      </c>
      <c r="E107" s="25">
        <v>106</v>
      </c>
      <c r="F107" s="21" t="str">
        <f>VLOOKUP(A107,[1]CPS!A106:AG290,4,FALSE)</f>
        <v>NATALIA GONZALEZ RAMOS</v>
      </c>
      <c r="G107" s="90">
        <f>VLOOKUP(A107,[1]CPS!A106:AU290,43,FALSE)</f>
        <v>44589</v>
      </c>
      <c r="H107" s="21" t="str">
        <f>VLOOKUP(A107,[1]CPS!A106:AG290,9,FALSE)</f>
        <v>Prestar servicios profesionales en la Dirección Territorial Amazonia, para aportar técnica y metodológicamente a los procesos de conformación e implementación del Sistema Regional de Áreas Protegidas de la Amazonia (SIRAP Amazonia) y apoyar la ejecución de políticas orientadas hacia la consolidación de los subsistemas de áreas protegidas locales, departamentales junto con las iniciativas de conservación privada en el marco de los lineamientos de Parques Nacionales Naturales de Colombia</v>
      </c>
      <c r="I107" s="91" t="s">
        <v>69</v>
      </c>
      <c r="J107" s="22" t="s">
        <v>70</v>
      </c>
      <c r="K107" s="25" t="s">
        <v>71</v>
      </c>
      <c r="L107" s="21">
        <f>VLOOKUP(A107,[1]CPS!A106:AG290,16,FALSE)</f>
        <v>13522</v>
      </c>
      <c r="M107" s="21">
        <f>VLOOKUP(A107,[1]CPS!A106:AG290,18,FALSE)</f>
        <v>15022</v>
      </c>
      <c r="N107" s="29">
        <f>VLOOKUP(A107,[1]CPS!A106:AG290,19,FALSE)</f>
        <v>44589</v>
      </c>
      <c r="O107" s="21" t="str">
        <f>VLOOKUP(A107,[1]CPS!A106:AU290,46,FALSE)</f>
        <v>ADMINISTRACION</v>
      </c>
      <c r="P107" s="30">
        <f>VLOOKUP(A107,[1]CPS!A106:AG290,13,FALSE)</f>
        <v>6304000</v>
      </c>
      <c r="Q107" s="92">
        <f>VLOOKUP(A107,[1]CPS!A106:AG290,12,FALSE)</f>
        <v>69344000</v>
      </c>
      <c r="S107" s="22" t="s">
        <v>72</v>
      </c>
      <c r="T107" s="22" t="s">
        <v>73</v>
      </c>
      <c r="U107" s="93">
        <f>VLOOKUP(A107,[1]CPS!A106:AG290,5,FALSE)</f>
        <v>53165225</v>
      </c>
      <c r="V107" s="34" t="s">
        <v>74</v>
      </c>
      <c r="W107" s="21" t="s">
        <v>75</v>
      </c>
      <c r="X107" s="35" t="s">
        <v>71</v>
      </c>
      <c r="Y107" s="21" t="str">
        <f t="shared" si="2"/>
        <v>NATALIA GONZALEZ RAMOS</v>
      </c>
      <c r="Z107" s="21" t="str">
        <f>VLOOKUP(A107,[1]CPS!A106:AU290,35,FALSE)</f>
        <v>6 NO CONSTITUYÓ GARANTÍAS</v>
      </c>
      <c r="AA107" s="25" t="str">
        <f>VLOOKUP(A107,[1]CPS!A106:AU290,37,FALSE)</f>
        <v>N/A</v>
      </c>
      <c r="AB107" s="55" t="s">
        <v>71</v>
      </c>
      <c r="AC107" s="56" t="str">
        <f>VLOOKUP(A107,[1]CPS!A106:AU290,38,FALSE)</f>
        <v>N/A</v>
      </c>
      <c r="AD107" s="55" t="str">
        <f>VLOOKUP(A107,[1]CPS!A106:AU290,39,FALSE)</f>
        <v>N/A</v>
      </c>
      <c r="AE107" s="21" t="str">
        <f>VLOOKUP(A107,[1]CPS!A106:AU290,36,FALSE)</f>
        <v>Dirección Territorial Amazonía</v>
      </c>
      <c r="AF107" s="22" t="s">
        <v>77</v>
      </c>
      <c r="AG107" s="22" t="s">
        <v>73</v>
      </c>
      <c r="AH107" s="38">
        <f>VLOOKUP(A107,[1]CPS!A106:AU290,41,FALSE)</f>
        <v>91297841</v>
      </c>
      <c r="AI107" s="21" t="str">
        <f>VLOOKUP(A107,[1]CPS!A106:AU290,29,FALSE)</f>
        <v>NANCY ESPERANZA RIVERA VEGA</v>
      </c>
      <c r="AJ107" s="35">
        <f>VLOOKUP(A107,[1]CPS!A106:AH290,34,FALSE)</f>
        <v>330</v>
      </c>
      <c r="AL107" s="94" t="str">
        <f>VLOOKUP(A107,[1]CPS!A106:AU290,40,FALSE)</f>
        <v>N/A</v>
      </c>
      <c r="AM107" s="95">
        <f>VLOOKUP(A107,[1]CPS!A106:AU290,44,FALSE)</f>
        <v>44589</v>
      </c>
      <c r="AN107" s="22" t="s">
        <v>78</v>
      </c>
      <c r="AO107" s="22">
        <v>0</v>
      </c>
      <c r="AP107" s="42">
        <v>0</v>
      </c>
      <c r="AQ107" s="43"/>
      <c r="AR107" s="44">
        <v>0</v>
      </c>
      <c r="AT107" s="96">
        <f>VLOOKUP(A107,[1]CPS!A106:AU290,25,FALSE)</f>
        <v>44589</v>
      </c>
      <c r="AU107" s="96">
        <f>VLOOKUP(A107,[1]CPS!A106:AU290,26,FALSE)</f>
        <v>44922</v>
      </c>
      <c r="AV107" s="97"/>
      <c r="AW107" s="22" t="s">
        <v>79</v>
      </c>
      <c r="AZ107" s="22" t="s">
        <v>79</v>
      </c>
      <c r="BA107" s="22">
        <v>0</v>
      </c>
      <c r="BE107" s="98"/>
      <c r="BF107" s="99">
        <f t="shared" si="3"/>
        <v>69344000</v>
      </c>
      <c r="BG107" s="100" t="str">
        <f>VLOOKUP(A107,[1]CPS!A106:AU290,2,FALSE)</f>
        <v>LAURA CAROLINA CORREA RAMIREZ</v>
      </c>
      <c r="BH107" s="21" t="str">
        <f>VLOOKUP(A107,[1]CPS!A106:AU290,42,FALSE)</f>
        <v>https://www.secop.gov.co/CO1ContractsManagement/Tendering/ProcurementContractEdit/View?docUniqueIdentifier=CO1.PCCNTR.3500624</v>
      </c>
      <c r="BI107" s="22" t="s">
        <v>80</v>
      </c>
      <c r="BK107" s="51" t="str">
        <f>VLOOKUP(A107,[1]CPS!A106:AU290,33,FALSE)</f>
        <v>https://community.secop.gov.co/Public/Tendering/ContractNoticePhases/View?PPI=CO1.PPI.17315263&amp;isFromPublicArea=True&amp;isModal=False</v>
      </c>
      <c r="BO107" s="53" t="s">
        <v>81</v>
      </c>
    </row>
    <row r="108" spans="1:67" ht="15" customHeight="1">
      <c r="A108" s="21">
        <v>107</v>
      </c>
      <c r="B108" s="22" t="s">
        <v>188</v>
      </c>
      <c r="C108" s="23" t="s">
        <v>68</v>
      </c>
      <c r="D108" s="24" t="str">
        <f>VLOOKUP(A108,[1]CPS!A107:AG291,3,FALSE)</f>
        <v>CD-DTAM NACION-CPS No. 107 - 2022</v>
      </c>
      <c r="E108" s="25">
        <v>107</v>
      </c>
      <c r="F108" s="21" t="str">
        <f>VLOOKUP(A108,[1]CPS!A107:AG291,4,FALSE)</f>
        <v>JOHN JAIRO HURTADO MELENDEZ</v>
      </c>
      <c r="G108" s="90">
        <f>VLOOKUP(A108,[1]CPS!A107:AU291,43,FALSE)</f>
        <v>44589</v>
      </c>
      <c r="H108" s="21" t="str">
        <f>VLOOKUP(A108,[1]CPS!A107:AG291,9,FALSE)</f>
        <v>Prestar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v>
      </c>
      <c r="I108" s="91" t="s">
        <v>69</v>
      </c>
      <c r="J108" s="22" t="s">
        <v>70</v>
      </c>
      <c r="K108" s="25" t="s">
        <v>71</v>
      </c>
      <c r="L108" s="21">
        <f>VLOOKUP(A108,[1]CPS!A107:AG291,16,FALSE)</f>
        <v>15722</v>
      </c>
      <c r="M108" s="21">
        <f>VLOOKUP(A108,[1]CPS!A107:AG291,18,FALSE)</f>
        <v>15222</v>
      </c>
      <c r="N108" s="29">
        <f>VLOOKUP(A108,[1]CPS!A107:AG291,19,FALSE)</f>
        <v>44589</v>
      </c>
      <c r="O108" s="21" t="str">
        <f>VLOOKUP(A108,[1]CPS!A107:AU291,46,FALSE)</f>
        <v>FORTALECIMIENTO</v>
      </c>
      <c r="P108" s="30">
        <f>VLOOKUP(A108,[1]CPS!A107:AG291,13,FALSE)</f>
        <v>1592000</v>
      </c>
      <c r="Q108" s="92">
        <f>VLOOKUP(A108,[1]CPS!A107:AG291,12,FALSE)</f>
        <v>17512000</v>
      </c>
      <c r="S108" s="22" t="s">
        <v>72</v>
      </c>
      <c r="T108" s="22" t="s">
        <v>73</v>
      </c>
      <c r="U108" s="93">
        <f>VLOOKUP(A108,[1]CPS!A107:AG291,5,FALSE)</f>
        <v>80775539</v>
      </c>
      <c r="V108" s="34" t="s">
        <v>74</v>
      </c>
      <c r="W108" s="21" t="s">
        <v>75</v>
      </c>
      <c r="X108" s="35" t="s">
        <v>71</v>
      </c>
      <c r="Y108" s="21" t="str">
        <f t="shared" si="2"/>
        <v>JOHN JAIRO HURTADO MELENDEZ</v>
      </c>
      <c r="Z108" s="21" t="str">
        <f>VLOOKUP(A108,[1]CPS!A107:AU291,35,FALSE)</f>
        <v>6 NO CONSTITUYÓ GARANTÍAS</v>
      </c>
      <c r="AA108" s="35" t="str">
        <f>VLOOKUP(A108,[1]CPS!A107:AU291,37,FALSE)</f>
        <v>N/A</v>
      </c>
      <c r="AB108" s="55" t="s">
        <v>71</v>
      </c>
      <c r="AC108" s="56" t="str">
        <f>VLOOKUP(A108,[1]CPS!A107:AU291,38,FALSE)</f>
        <v>N/A</v>
      </c>
      <c r="AD108" s="55" t="str">
        <f>VLOOKUP(A108,[1]CPS!A107:AU291,39,FALSE)</f>
        <v>N/A</v>
      </c>
      <c r="AE108" s="21" t="str">
        <f>VLOOKUP(A108,[1]CPS!A107:AU291,36,FALSE)</f>
        <v>Dirección Territorial Amazonía</v>
      </c>
      <c r="AF108" s="22" t="s">
        <v>77</v>
      </c>
      <c r="AG108" s="22" t="s">
        <v>73</v>
      </c>
      <c r="AH108" s="38">
        <f>VLOOKUP(A108,[1]CPS!A107:AU291,41,FALSE)</f>
        <v>41674698</v>
      </c>
      <c r="AI108" s="21" t="str">
        <f>VLOOKUP(A108,[1]CPS!A107:AU291,29,FALSE)</f>
        <v>CLAUDIA OFELIA MANRIQUE ROA</v>
      </c>
      <c r="AJ108" s="35">
        <f>VLOOKUP(A108,[1]CPS!A107:AH291,34,FALSE)</f>
        <v>330</v>
      </c>
      <c r="AL108" s="94" t="str">
        <f>VLOOKUP(A108,[1]CPS!A107:AU291,40,FALSE)</f>
        <v>N/A</v>
      </c>
      <c r="AM108" s="95">
        <f>VLOOKUP(A108,[1]CPS!A107:AU291,44,FALSE)</f>
        <v>44589</v>
      </c>
      <c r="AN108" s="22" t="s">
        <v>78</v>
      </c>
      <c r="AO108" s="22">
        <v>0</v>
      </c>
      <c r="AP108" s="42">
        <v>0</v>
      </c>
      <c r="AQ108" s="43"/>
      <c r="AR108" s="44">
        <v>0</v>
      </c>
      <c r="AT108" s="96">
        <f>VLOOKUP(A108,[1]CPS!A107:AU291,25,FALSE)</f>
        <v>44589</v>
      </c>
      <c r="AU108" s="96">
        <f>VLOOKUP(A108,[1]CPS!A107:AU291,26,FALSE)</f>
        <v>44922</v>
      </c>
      <c r="AV108" s="97"/>
      <c r="AW108" s="22" t="s">
        <v>79</v>
      </c>
      <c r="AZ108" s="22" t="s">
        <v>79</v>
      </c>
      <c r="BA108" s="22">
        <v>0</v>
      </c>
      <c r="BE108" s="98"/>
      <c r="BF108" s="99">
        <f t="shared" si="3"/>
        <v>17512000</v>
      </c>
      <c r="BG108" s="100" t="str">
        <f>VLOOKUP(A108,[1]CPS!A107:AU291,2,FALSE)</f>
        <v>LAURA CAROLINA CORREA RAMIREZ</v>
      </c>
      <c r="BH108" s="21" t="str">
        <f>VLOOKUP(A108,[1]CPS!A107:AU291,42,FALSE)</f>
        <v>https://www.secop.gov.co/CO1ContractsManagement/Tendering/ProcurementContractEdit/View?docUniqueIdentifier=CO1.PCCNTR.3502248</v>
      </c>
      <c r="BI108" s="22" t="s">
        <v>80</v>
      </c>
      <c r="BK108" s="51" t="str">
        <f>VLOOKUP(A108,[1]CPS!A107:AU291,33,FALSE)</f>
        <v>https://community.secop.gov.co/Public/Tendering/OpportunityDetail/Index?noticeUID=CO1.NTC.2772578&amp;isFromPublicArea=True&amp;isModal=False</v>
      </c>
      <c r="BO108" s="53" t="s">
        <v>81</v>
      </c>
    </row>
    <row r="109" spans="1:67" ht="15" customHeight="1">
      <c r="A109" s="21">
        <v>108</v>
      </c>
      <c r="B109" s="22" t="s">
        <v>189</v>
      </c>
      <c r="C109" s="23" t="s">
        <v>68</v>
      </c>
      <c r="D109" s="24" t="str">
        <f>VLOOKUP(A109,[1]CPS!A108:AG292,3,FALSE)</f>
        <v>CESION CD-DTAM NACION CPS No. 171-2021</v>
      </c>
      <c r="E109" s="35">
        <v>171</v>
      </c>
      <c r="F109" s="21" t="str">
        <f>VLOOKUP(A109,[1]CPS!A108:AG292,4,FALSE)</f>
        <v>CAROL ANGÉLICA CERCADO BONILLA</v>
      </c>
      <c r="G109" s="35">
        <f>VLOOKUP(A109,[1]CPS!A108:AU292,43,FALSE)</f>
        <v>0</v>
      </c>
      <c r="H109" s="21" t="str">
        <f>VLOOKUP(A109,[1]CPS!A108:AG292,9,FALSE)</f>
        <v>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Dirección Territorial Amazonia.</v>
      </c>
      <c r="I109" s="91" t="s">
        <v>69</v>
      </c>
      <c r="J109" s="21" t="s">
        <v>70</v>
      </c>
      <c r="K109" s="25" t="s">
        <v>71</v>
      </c>
      <c r="L109" s="21">
        <f>VLOOKUP(A109,[1]CPS!A108:AG292,16,FALSE)</f>
        <v>31121</v>
      </c>
      <c r="M109" s="21">
        <f>VLOOKUP(A109,[1]CPS!A108:AG292,18,FALSE)</f>
        <v>4622</v>
      </c>
      <c r="N109" s="29">
        <f>VLOOKUP(A109,[1]CPS!A108:AG292,19,FALSE)</f>
        <v>44581</v>
      </c>
      <c r="O109" s="21" t="str">
        <f>VLOOKUP(A109,[1]CPS!A108:AU292,46,FALSE)</f>
        <v>ADMINISTRACION</v>
      </c>
      <c r="P109" s="102">
        <f>VLOOKUP(A109,[1]CPS!A108:AG292,13,FALSE)</f>
        <v>5532323</v>
      </c>
      <c r="Q109" s="92">
        <f>VLOOKUP(A109,[1]CPS!A108:AG292,12,FALSE)</f>
        <v>40570368.700000003</v>
      </c>
      <c r="S109" s="21" t="s">
        <v>72</v>
      </c>
      <c r="T109" s="21" t="s">
        <v>73</v>
      </c>
      <c r="U109" s="93">
        <f>VLOOKUP(A109,[1]CPS!A108:AG292,5,FALSE)</f>
        <v>1016060857</v>
      </c>
      <c r="V109" s="34" t="s">
        <v>74</v>
      </c>
      <c r="W109" s="21" t="s">
        <v>190</v>
      </c>
      <c r="X109" s="35" t="s">
        <v>71</v>
      </c>
      <c r="Y109" s="21" t="str">
        <f t="shared" si="2"/>
        <v>CAROL ANGÉLICA CERCADO BONILLA</v>
      </c>
      <c r="Z109" s="21" t="str">
        <f>VLOOKUP(A109,[1]CPS!A108:AU292,35,FALSE)</f>
        <v>6 NO CONSTITUYÓ GARANTÍAS</v>
      </c>
      <c r="AA109" s="35" t="str">
        <f>VLOOKUP(A109,[1]CPS!A108:AU292,37,FALSE)</f>
        <v>N/A</v>
      </c>
      <c r="AB109" s="21" t="s">
        <v>71</v>
      </c>
      <c r="AC109" s="35" t="str">
        <f>VLOOKUP(A109,[1]CPS!A108:AU292,38,FALSE)</f>
        <v>N/A</v>
      </c>
      <c r="AD109" s="35" t="str">
        <f>VLOOKUP(A109,[1]CPS!A108:AU292,39,FALSE)</f>
        <v>N/A</v>
      </c>
      <c r="AE109" s="21" t="str">
        <f>VLOOKUP(A109,[1]CPS!A108:AU292,36,FALSE)</f>
        <v>Dirección Territorial Amazonía</v>
      </c>
      <c r="AF109" s="22" t="s">
        <v>77</v>
      </c>
      <c r="AG109" s="22" t="s">
        <v>73</v>
      </c>
      <c r="AH109" s="93">
        <f>VLOOKUP(A109,[1]CPS!A108:AU292,41,FALSE)</f>
        <v>24344682</v>
      </c>
      <c r="AI109" s="21" t="str">
        <f>VLOOKUP(A109,[1]CPS!A108:AU292,29,FALSE)</f>
        <v>DIANA CAROLINA GOMEZ RODRIGUEZ</v>
      </c>
      <c r="AJ109" s="35">
        <f>VLOOKUP(A109,[1]CPS!A108:AH292,34,FALSE)</f>
        <v>330</v>
      </c>
      <c r="AL109" s="103" t="str">
        <f>VLOOKUP(A109,[1]CPS!A108:AU292,40,FALSE)</f>
        <v>N/A</v>
      </c>
      <c r="AM109" s="95">
        <f>VLOOKUP(A109,[1]CPS!A108:AU292,44,FALSE)</f>
        <v>44582</v>
      </c>
      <c r="AN109" s="21" t="s">
        <v>78</v>
      </c>
      <c r="AO109" s="22">
        <v>0</v>
      </c>
      <c r="AP109" s="42">
        <v>0</v>
      </c>
      <c r="AQ109" s="43"/>
      <c r="AR109" s="44">
        <v>0</v>
      </c>
      <c r="AT109" s="96">
        <f>VLOOKUP(A109,[1]CPS!A108:AU292,25,FALSE)</f>
        <v>44589</v>
      </c>
      <c r="AU109" s="96">
        <f>VLOOKUP(A109,[1]CPS!A108:AU292,26,FALSE)</f>
        <v>44922</v>
      </c>
      <c r="AW109" s="22" t="s">
        <v>79</v>
      </c>
      <c r="AZ109" s="22" t="s">
        <v>79</v>
      </c>
      <c r="BA109" s="22">
        <v>0</v>
      </c>
      <c r="BH109" s="21">
        <f>VLOOKUP(A109,[1]CPS!A108:AU292,42,FALSE)</f>
        <v>0</v>
      </c>
      <c r="BI109" s="22" t="s">
        <v>80</v>
      </c>
      <c r="BK109" s="22" t="str">
        <f>VLOOKUP(A109,[1]CPS!A108:AU292,33,FALSE)</f>
        <v>https://community.secop.gov.co/Public/Tendering/OpportunityDetail/Index?noticeUID=CO1.NTC.2774525&amp;isFromPublicArea=True&amp;isModal=False</v>
      </c>
      <c r="BO109" s="53" t="s">
        <v>81</v>
      </c>
    </row>
    <row r="110" spans="1:67" ht="15" customHeight="1">
      <c r="A110" s="21">
        <v>109</v>
      </c>
      <c r="B110" s="22" t="s">
        <v>191</v>
      </c>
      <c r="C110" s="23" t="s">
        <v>68</v>
      </c>
      <c r="D110" s="24" t="str">
        <f>VLOOKUP(A110,[1]CPS!A109:AG293,3,FALSE)</f>
        <v>CESION CD-DTAM NACION-CPS No. 057 - 2022</v>
      </c>
      <c r="E110" s="35" t="s">
        <v>192</v>
      </c>
      <c r="F110" s="21" t="str">
        <f>VLOOKUP(A110,[1]CPS!A109:AG293,4,FALSE)</f>
        <v>EDUAR ALFONSO DELGADO LONDOÑO</v>
      </c>
      <c r="G110" s="90">
        <f>VLOOKUP(A110,[1]CPS!A109:AU293,43,FALSE)</f>
        <v>44589</v>
      </c>
      <c r="H110" s="21" t="str">
        <f>VLOOKUP(A110,[1]CPS!A109:AG293,9,FALSE)</f>
        <v>Prestar apoyo técnico a la gestión operativa en los procesos de atención a situación de UOT y en el trabajo comunitario con grupos indígenas y campesinos del Parque Nacional Natural Serranía de los Churumbelos Auka Wasi</v>
      </c>
      <c r="I110" s="91" t="s">
        <v>69</v>
      </c>
      <c r="J110" s="21" t="s">
        <v>70</v>
      </c>
      <c r="K110" s="25" t="s">
        <v>71</v>
      </c>
      <c r="L110" s="21">
        <f>VLOOKUP(A110,[1]CPS!A109:AG293,16,FALSE)</f>
        <v>9522</v>
      </c>
      <c r="M110" s="21">
        <f>VLOOKUP(A110,[1]CPS!A109:AG293,18,FALSE)</f>
        <v>7622</v>
      </c>
      <c r="N110" s="29">
        <f>VLOOKUP(A110,[1]CPS!A109:AG293,19,FALSE)</f>
        <v>44585</v>
      </c>
      <c r="O110" s="21" t="str">
        <f>VLOOKUP(A110,[1]CPS!A109:AU293,46,FALSE)</f>
        <v>ADMINISTRACION</v>
      </c>
      <c r="P110" s="102">
        <f>VLOOKUP(A110,[1]CPS!A109:AG293,13,FALSE)</f>
        <v>2330000</v>
      </c>
      <c r="Q110" s="92">
        <f>VLOOKUP(A110,[1]CPS!A109:AG293,12,FALSE)</f>
        <v>25552333</v>
      </c>
      <c r="S110" s="21" t="s">
        <v>72</v>
      </c>
      <c r="T110" s="21" t="s">
        <v>73</v>
      </c>
      <c r="U110" s="93">
        <f>VLOOKUP(A110,[1]CPS!A109:AG293,5,FALSE)</f>
        <v>1083917069</v>
      </c>
      <c r="V110" s="34" t="s">
        <v>74</v>
      </c>
      <c r="W110" s="21" t="s">
        <v>193</v>
      </c>
      <c r="X110" s="35" t="s">
        <v>71</v>
      </c>
      <c r="Y110" s="21" t="str">
        <f t="shared" si="2"/>
        <v>EDUAR ALFONSO DELGADO LONDOÑO</v>
      </c>
      <c r="Z110" s="21" t="str">
        <f>VLOOKUP(A110,[1]CPS!A109:AU293,35,FALSE)</f>
        <v>6 NO CONSTITUYÓ GARANTÍAS</v>
      </c>
      <c r="AA110" s="35" t="str">
        <f>VLOOKUP(A110,[1]CPS!A109:AU293,37,FALSE)</f>
        <v>N/A</v>
      </c>
      <c r="AB110" s="21" t="s">
        <v>71</v>
      </c>
      <c r="AC110" s="35" t="str">
        <f>VLOOKUP(A110,[1]CPS!A109:AU293,38,FALSE)</f>
        <v>N/A</v>
      </c>
      <c r="AD110" s="35" t="str">
        <f>VLOOKUP(A110,[1]CPS!A109:AU293,39,FALSE)</f>
        <v>N/A</v>
      </c>
      <c r="AE110" s="21" t="str">
        <f>VLOOKUP(A110,[1]CPS!A109:AU293,36,FALSE)</f>
        <v>PNN Serranía de Los Churumbelos</v>
      </c>
      <c r="AF110" s="22" t="s">
        <v>77</v>
      </c>
      <c r="AG110" s="22" t="s">
        <v>73</v>
      </c>
      <c r="AH110" s="93">
        <f>VLOOKUP(A110,[1]CPS!A109:AU293,41,FALSE)</f>
        <v>19481189</v>
      </c>
      <c r="AI110" s="21" t="str">
        <f>VLOOKUP(A110,[1]CPS!A109:AU293,29,FALSE)</f>
        <v>FLABIO ARMANDO HERRERA CAICEDO</v>
      </c>
      <c r="AJ110" s="35">
        <f>VLOOKUP(A110,[1]CPS!A109:AH293,34,FALSE)</f>
        <v>329</v>
      </c>
      <c r="AL110" s="103" t="str">
        <f>VLOOKUP(A110,[1]CPS!A109:AU293,40,FALSE)</f>
        <v>N/A</v>
      </c>
      <c r="AM110" s="95">
        <f>VLOOKUP(A110,[1]CPS!A109:AU293,44,FALSE)</f>
        <v>44596</v>
      </c>
      <c r="AN110" s="21" t="s">
        <v>78</v>
      </c>
      <c r="AO110" s="22">
        <v>0</v>
      </c>
      <c r="AP110" s="42">
        <v>0</v>
      </c>
      <c r="AQ110" s="43"/>
      <c r="AR110" s="44">
        <v>0</v>
      </c>
      <c r="AT110" s="96">
        <f>VLOOKUP(A110,[1]CPS!A109:AU293,25,FALSE)</f>
        <v>44585</v>
      </c>
      <c r="AU110" s="96">
        <f>VLOOKUP(A110,[1]CPS!A109:AU293,26,FALSE)</f>
        <v>44589</v>
      </c>
      <c r="AW110" s="22" t="s">
        <v>79</v>
      </c>
      <c r="AZ110" s="22" t="s">
        <v>79</v>
      </c>
      <c r="BA110" s="22">
        <v>0</v>
      </c>
      <c r="BH110" s="21" t="str">
        <f>VLOOKUP(A110,[1]CPS!A109:AU293,42,FALSE)</f>
        <v>https://www.secop.gov.co/CO1ContractsManagement/Tendering/ProcurementContractEdit/View?docUniqueIdentifier=CO1.PCCNTR.3380091</v>
      </c>
      <c r="BI110" s="22" t="s">
        <v>80</v>
      </c>
      <c r="BK110" s="22" t="str">
        <f>VLOOKUP(A110,[1]CPS!A109:AU293,33,FALSE)</f>
        <v>https://community.secop.gov.co/Public/Tendering/ContractNoticePhases/View?PPI=CO1.PPI.17030958&amp;isFromPublicArea=True&amp;isModal=False</v>
      </c>
      <c r="BO110" s="53" t="s">
        <v>81</v>
      </c>
    </row>
    <row r="111" spans="1:67" ht="15" customHeight="1">
      <c r="AM111" s="95"/>
    </row>
  </sheetData>
  <autoFilter ref="A1:BO110" xr:uid="{00000000-0001-0000-0000-000000000000}"/>
  <pageMargins left="0.70866141732283472" right="0.70866141732283472" top="0.74803149606299213" bottom="0.74803149606299213" header="0.31496062992125984" footer="0.31496062992125984"/>
  <pageSetup paperSize="1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ENERO-2022</vt:lpstr>
      <vt:lpstr>derly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2022-03-14T16:03:35Z</cp:lastPrinted>
  <dcterms:created xsi:type="dcterms:W3CDTF">2022-03-14T16:01:54Z</dcterms:created>
  <dcterms:modified xsi:type="dcterms:W3CDTF">2022-03-14T16:04:46Z</dcterms:modified>
</cp:coreProperties>
</file>